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4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drawings/drawing7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drawings/drawing8.xml" ContentType="application/vnd.openxmlformats-officedocument.drawing+xml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15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drawings/drawing16.xml" ContentType="application/vnd.openxmlformats-officedocument.drawing+xml"/>
  <Override PartName="/xl/activeX/activeX26.xml" ContentType="application/vnd.ms-office.activeX+xml"/>
  <Override PartName="/xl/activeX/activeX26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7.xml" ContentType="application/vnd.openxmlformats-officedocument.drawingml.chartshape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U:\SGT\REVISÃO\CONCESSIONÁRIAS DE DISTRIBUIÇÃO\2022\07 - D38 - Demei\"/>
    </mc:Choice>
  </mc:AlternateContent>
  <xr:revisionPtr revIDLastSave="0" documentId="8_{784EFC35-96B7-4B72-A5F1-6A2ECE665BA6}" xr6:coauthVersionLast="47" xr6:coauthVersionMax="47" xr10:uidLastSave="{00000000-0000-0000-0000-000000000000}"/>
  <bookViews>
    <workbookView xWindow="28680" yWindow="-120" windowWidth="21840" windowHeight="13140" tabRatio="867" firstSheet="11" activeTab="20" xr2:uid="{00000000-000D-0000-FFFF-FFFF00000000}"/>
  </bookViews>
  <sheets>
    <sheet name="CAPA" sheetId="2" r:id="rId1"/>
    <sheet name="DADOS-Campanha" sheetId="1" r:id="rId2"/>
    <sheet name="DADOS-Mercado" sheetId="6" r:id="rId3"/>
    <sheet name="DADOS-Ativos e Custos" sheetId="5" r:id="rId4"/>
    <sheet name="DADOS-Diversos" sheetId="7" r:id="rId5"/>
    <sheet name="Aux_Fatores" sheetId="11" r:id="rId6"/>
    <sheet name="Diagrama" sheetId="12" r:id="rId7"/>
    <sheet name="Custo_Medio" sheetId="14" r:id="rId8"/>
    <sheet name="DADOS - RELATORIOS CTR" sheetId="4" r:id="rId9"/>
    <sheet name="CT (CTR)" sheetId="8" r:id="rId10"/>
    <sheet name="RT (CTR)" sheetId="9" r:id="rId11"/>
    <sheet name="Beta (CTR)" sheetId="122" r:id="rId12"/>
    <sheet name="CURVAS" sheetId="123" r:id="rId13"/>
    <sheet name="Aux_FIO A" sheetId="16" r:id="rId14"/>
    <sheet name="FIO A" sheetId="15" r:id="rId15"/>
    <sheet name="FIO B" sheetId="17" r:id="rId16"/>
    <sheet name="Tarifa Branca" sheetId="90" r:id="rId17"/>
    <sheet name="CCD_(nome Acessante)" sheetId="92" r:id="rId18"/>
    <sheet name="TR" sheetId="101" r:id="rId19"/>
    <sheet name="BD_CCD" sheetId="113" r:id="rId20"/>
    <sheet name="Tabelas e Graficos NT" sheetId="91" r:id="rId21"/>
    <sheet name="Aux" sheetId="3" r:id="rId22"/>
    <sheet name="Lista Códigos" sheetId="115" r:id="rId23"/>
  </sheets>
  <definedNames>
    <definedName name="A_OeM_Encargo">Aux_Fatores!$F$6</definedName>
    <definedName name="A_PeD">Aux_Fatores!$F$4</definedName>
    <definedName name="A_TFSEE">Aux_Fatores!$F$5</definedName>
    <definedName name="Anos_ciclo">CAPA!$J$4</definedName>
    <definedName name="CM_AT2">Custo_Medio!$C$79</definedName>
    <definedName name="CM_AT3">Custo_Medio!$C$80</definedName>
    <definedName name="CM_BT">Custo_Medio!$C$82</definedName>
    <definedName name="CM_MT">Custo_Medio!$C$81</definedName>
    <definedName name="EV_AT2">'DADOS - RELATORIOS CTR'!$G$9</definedName>
    <definedName name="EV_AT2_AT2">'DADOS - RELATORIOS CTR'!$C$9</definedName>
    <definedName name="EV_AT2_AT3">'DADOS - RELATORIOS CTR'!$C$10</definedName>
    <definedName name="EV_AT2_BT">'DADOS - RELATORIOS CTR'!$C$12</definedName>
    <definedName name="EV_AT2_MT">'DADOS - RELATORIOS CTR'!$C$11</definedName>
    <definedName name="EV_AT3">'DADOS - RELATORIOS CTR'!$G$10</definedName>
    <definedName name="EV_AT3_AT3">'DADOS - RELATORIOS CTR'!$D$10</definedName>
    <definedName name="EV_AT3_BT">'DADOS - RELATORIOS CTR'!$D$12</definedName>
    <definedName name="EV_AT3_MT">'DADOS - RELATORIOS CTR'!$D$11</definedName>
    <definedName name="EV_BT">'DADOS - RELATORIOS CTR'!$G$12</definedName>
    <definedName name="EV_BT_BT">'DADOS - RELATORIOS CTR'!$F$12</definedName>
    <definedName name="EV_MT">'DADOS - RELATORIOS CTR'!$G$11</definedName>
    <definedName name="EV_MT_BT">'DADOS - RELATORIOS CTR'!$E$12</definedName>
    <definedName name="EV_MT_MT">'DADOS - RELATORIOS CTR'!$E$11</definedName>
    <definedName name="F_AT1_AT2">Diagrama!$F$136</definedName>
    <definedName name="F_AT2_AT3">Diagrama!$G$137</definedName>
    <definedName name="F_AT2_MT">Diagrama!$G$138</definedName>
    <definedName name="F_AT3_MT">Diagrama!$H$138</definedName>
    <definedName name="F_MT_BT">Diagrama!$I$139</definedName>
    <definedName name="FC_THSV">'DADOS-Diversos'!$F$7</definedName>
    <definedName name="FcoinFP_AT2_AT2">'Aux_FIO A'!$K$44</definedName>
    <definedName name="FcoinFP_AT2_AT3">'Aux_FIO A'!$K$45</definedName>
    <definedName name="FcoinFP_AT2_BT">'Aux_FIO A'!$K$47</definedName>
    <definedName name="FcoinFP_AT2_MT">'Aux_FIO A'!$K$46</definedName>
    <definedName name="FcoinFP_AT3_AT3">'Aux_FIO A'!$L$45</definedName>
    <definedName name="FcoinFP_AT3_BT">'Aux_FIO A'!$L$47</definedName>
    <definedName name="FcoinFP_AT3_MT">'Aux_FIO A'!$L$46</definedName>
    <definedName name="FcoinFP_BT_BT">'Aux_FIO A'!$N$47</definedName>
    <definedName name="FcoinFP_MT_BT">'Aux_FIO A'!$M$47</definedName>
    <definedName name="FcoinFP_MT_MT">'Aux_FIO A'!$M$46</definedName>
    <definedName name="FcoinP_AT2_AT2">'Aux_FIO A'!$D$44</definedName>
    <definedName name="FcoinP_AT2_AT3">'Aux_FIO A'!$D$45</definedName>
    <definedName name="FcoinP_AT2_BT">'Aux_FIO A'!$D$47</definedName>
    <definedName name="FcoinP_AT2_MT">'Aux_FIO A'!$D$46</definedName>
    <definedName name="FcoinP_AT3_AT3">'Aux_FIO A'!$E$45</definedName>
    <definedName name="FcoinP_AT3_BT">'Aux_FIO A'!$E$47</definedName>
    <definedName name="FcoinP_AT3_MT">'Aux_FIO A'!$E$46</definedName>
    <definedName name="FcoinP_BT_BT">'Aux_FIO A'!$G$47</definedName>
    <definedName name="FcoinP_MT_BT">'Aux_FIO A'!$F$47</definedName>
    <definedName name="FcoinP_MT_MT">'Aux_FIO A'!$F$46</definedName>
    <definedName name="FPE_AT1">'DADOS-Diversos'!$C$34</definedName>
    <definedName name="FPE_AT2">'DADOS-Diversos'!$C$35</definedName>
    <definedName name="FPE_AT3">'DADOS-Diversos'!$C$36</definedName>
    <definedName name="FPE_BT">'DADOS-Diversos'!$C$38</definedName>
    <definedName name="FPE_MT">'DADOS-Diversos'!$C$37</definedName>
    <definedName name="FPP_AT2_AT2">'DADOS-Diversos'!$G$34</definedName>
    <definedName name="FPP_AT2_AT3">'DADOS-Diversos'!$G$35</definedName>
    <definedName name="FPP_AT2_BT">'DADOS-Diversos'!$G$37</definedName>
    <definedName name="FPP_AT2_MT">'DADOS-Diversos'!$G$36</definedName>
    <definedName name="FPP_AT3_AT3">'DADOS-Diversos'!$H$35</definedName>
    <definedName name="FPP_AT3_BT">'DADOS-Diversos'!$H$37</definedName>
    <definedName name="FPP_AT3_MT">'DADOS-Diversos'!$H$36</definedName>
    <definedName name="FPP_BT_BT">'DADOS-Diversos'!$J$37</definedName>
    <definedName name="FPP_MT_BT">'DADOS-Diversos'!$I$37</definedName>
    <definedName name="FPP_MT_MT">'DADOS-Diversos'!$I$36</definedName>
    <definedName name="FS_AT2">Aux_Fatores!$C$7</definedName>
    <definedName name="FS_AT3">Aux_Fatores!$C$8</definedName>
    <definedName name="FS_BT">Aux_Fatores!$C$10</definedName>
    <definedName name="FS_MT">Aux_Fatores!$C$9</definedName>
    <definedName name="Inj_AT1">Diagrama!$F$135</definedName>
    <definedName name="Inj_AT2">Diagrama!$G$136</definedName>
    <definedName name="InjAT3">Diagrama!$H$137</definedName>
    <definedName name="InjBT">Diagrama!$J$139</definedName>
    <definedName name="InjMT">Diagrama!$I$138</definedName>
    <definedName name="IPNT_AT1">'DADOS-Diversos'!$D$34</definedName>
    <definedName name="IPNT_AT2">'DADOS-Diversos'!$D$35</definedName>
    <definedName name="IPNT_AT3">'DADOS-Diversos'!$D$36</definedName>
    <definedName name="IPNT_BT">'DADOS-Diversos'!$D$38</definedName>
    <definedName name="IPNT_MT">'DADOS-Diversos'!$D$37</definedName>
    <definedName name="K_D3_D">Custo_Medio!$D$89</definedName>
    <definedName name="K_D4_D">Custo_Medio!$D$90</definedName>
    <definedName name="K_D5_D">Custo_Medio!$D$91</definedName>
    <definedName name="kz_B1">'Tarifa Branca'!$C$7</definedName>
    <definedName name="kz_B2">'Tarifa Branca'!$C$8</definedName>
    <definedName name="kz_B3">'Tarifa Branca'!$C$9</definedName>
    <definedName name="L_AT1">Diagrama!$K$135</definedName>
    <definedName name="L_AT2">Diagrama!$K$136</definedName>
    <definedName name="L_AT3">Diagrama!$K$137</definedName>
    <definedName name="L_BT">Diagrama!$K$139</definedName>
    <definedName name="L_MT">Diagrama!$K$138</definedName>
    <definedName name="LNKTXT_ano">CAPA!$J$6</definedName>
    <definedName name="LNKTXT_contrato">CAPA!$K$4</definedName>
    <definedName name="LNKTXT_datartp">CAPA!$I$4</definedName>
    <definedName name="LNKTXT_nomeD">CAPA!$C$4</definedName>
    <definedName name="LNKTXT_rehanterior">'Tabelas e Graficos NT'!$F$2</definedName>
    <definedName name="LNKTXT_SIC">'Tabelas e Graficos NT'!$C$2</definedName>
    <definedName name="LNKTXT_siglaD">CAPA!$B$4</definedName>
    <definedName name="NUC_A1">'DADOS-Mercado'!$C$39</definedName>
    <definedName name="NUC_A2">'DADOS-Mercado'!$C$40</definedName>
    <definedName name="NUC_A3">'DADOS-Mercado'!$C$41</definedName>
    <definedName name="NUC_A3a">'DADOS-Mercado'!$C$42</definedName>
    <definedName name="NUC_A4">'DADOS-Mercado'!$C$43</definedName>
    <definedName name="NUC_AS">'DADOS-Mercado'!$C$44</definedName>
    <definedName name="NUC_B1">'DADOS-Mercado'!$C$45</definedName>
    <definedName name="NUC_B2">'DADOS-Mercado'!$C$46</definedName>
    <definedName name="NUC_B3com">'DADOS-Mercado'!$C$47</definedName>
    <definedName name="NUC_B3ind">'DADOS-Mercado'!$C$48</definedName>
    <definedName name="NUC_B3sp">'DADOS-Mercado'!$C$49</definedName>
    <definedName name="NUC_B4">'DADOS-Mercado'!$C$50</definedName>
    <definedName name="PF_AT2_AT2">'DADOS - RELATORIOS CTR'!$C$19</definedName>
    <definedName name="PF_AT2_AT3">'DADOS - RELATORIOS CTR'!$C$20</definedName>
    <definedName name="PF_AT2_BT">'DADOS - RELATORIOS CTR'!$C$22</definedName>
    <definedName name="PF_AT2_MT">'DADOS - RELATORIOS CTR'!$C$21</definedName>
    <definedName name="PF_AT3_AT3">'DADOS - RELATORIOS CTR'!$D$20</definedName>
    <definedName name="PF_AT3_BT">'DADOS - RELATORIOS CTR'!$D$22</definedName>
    <definedName name="PF_AT3_MT">'DADOS - RELATORIOS CTR'!$D$21</definedName>
    <definedName name="PF_BT_BT">'DADOS - RELATORIOS CTR'!$F$22</definedName>
    <definedName name="PF_MT_BT">'DADOS - RELATORIOS CTR'!$E$22</definedName>
    <definedName name="PF_MT_MT">'DADOS - RELATORIOS CTR'!$E$21</definedName>
    <definedName name="PMIX_ENERGIA_MWh">'DADOS-Diversos'!$C$26</definedName>
    <definedName name="RINTFP_B1">'DADOS-Diversos'!$H$23</definedName>
    <definedName name="RINTFP_B2">'DADOS-Diversos'!$H$24</definedName>
    <definedName name="RINTFP_B3">'DADOS-Diversos'!$H$25</definedName>
    <definedName name="RPFP_B1">'DADOS-Diversos'!$G$23</definedName>
    <definedName name="RPFP_B2">'DADOS-Diversos'!$G$24</definedName>
    <definedName name="RPFP_B3">'DADOS-Diversos'!$G$25</definedName>
    <definedName name="solver_adj" localSheetId="15" hidden="1">'FIO B'!#REF!</definedName>
    <definedName name="solver_cvg" localSheetId="15" hidden="1">0.0001</definedName>
    <definedName name="solver_drv" localSheetId="15" hidden="1">2</definedName>
    <definedName name="solver_eng" localSheetId="15" hidden="1">2</definedName>
    <definedName name="solver_est" localSheetId="15" hidden="1">1</definedName>
    <definedName name="solver_itr" localSheetId="15" hidden="1">2147483647</definedName>
    <definedName name="solver_lhs0" localSheetId="15" hidden="1">'FIO B'!#REF!</definedName>
    <definedName name="solver_lhs1" localSheetId="15" hidden="1">'FIO B'!#REF!</definedName>
    <definedName name="solver_lhs2" localSheetId="15" hidden="1">'FIO B'!#REF!</definedName>
    <definedName name="solver_lhs3" localSheetId="15" hidden="1">'FIO B'!#REF!</definedName>
    <definedName name="solver_lhs4" localSheetId="15" hidden="1">'FIO B'!#REF!</definedName>
    <definedName name="solver_lhs5" localSheetId="15" hidden="1">'FIO B'!#REF!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15" hidden="1">1</definedName>
    <definedName name="solver_nod" localSheetId="15" hidden="1">2147483647</definedName>
    <definedName name="solver_num" localSheetId="15" hidden="1">5</definedName>
    <definedName name="solver_nwt" localSheetId="15" hidden="1">1</definedName>
    <definedName name="solver_opt" localSheetId="15" hidden="1">'FIO B'!#REF!</definedName>
    <definedName name="solver_pre" localSheetId="15" hidden="1">0.000001</definedName>
    <definedName name="solver_rbv" localSheetId="15" hidden="1">2</definedName>
    <definedName name="solver_rel0" localSheetId="15" hidden="1">1</definedName>
    <definedName name="solver_rel1" localSheetId="15" hidden="1">1</definedName>
    <definedName name="solver_rel2" localSheetId="15" hidden="1">1</definedName>
    <definedName name="solver_rel3" localSheetId="15" hidden="1">1</definedName>
    <definedName name="solver_rel4" localSheetId="15" hidden="1">1</definedName>
    <definedName name="solver_rel5" localSheetId="15" hidden="1">1</definedName>
    <definedName name="solver_rhs0" localSheetId="15" hidden="1">'DADOS-Diversos'!$H$19</definedName>
    <definedName name="solver_rhs1" localSheetId="15" hidden="1">'DADOS-Diversos'!$H$16</definedName>
    <definedName name="solver_rhs2" localSheetId="15" hidden="1">'DADOS-Diversos'!$F$17</definedName>
    <definedName name="solver_rhs3" localSheetId="15" hidden="1">'DADOS-Diversos'!$H$18</definedName>
    <definedName name="solver_rhs4" localSheetId="15" hidden="1">'DADOS-Diversos'!$H$19</definedName>
    <definedName name="solver_rhs5" localSheetId="15" hidden="1">'DADOS-Diversos'!$H$15</definedName>
    <definedName name="solver_rlx" localSheetId="15" hidden="1">2</definedName>
    <definedName name="solver_rsd" localSheetId="15" hidden="1">0</definedName>
    <definedName name="solver_scl" localSheetId="15" hidden="1">1</definedName>
    <definedName name="solver_sho" localSheetId="15" hidden="1">1</definedName>
    <definedName name="solver_ssz" localSheetId="15" hidden="1">100</definedName>
    <definedName name="solver_tim" localSheetId="15" hidden="1">2147483647</definedName>
    <definedName name="solver_tol" localSheetId="15" hidden="1">0.01</definedName>
    <definedName name="solver_typ" localSheetId="15" hidden="1">3</definedName>
    <definedName name="solver_val" localSheetId="15" hidden="1">0</definedName>
    <definedName name="solver_ver" localSheetId="15" hidden="1">3</definedName>
    <definedName name="TAB_NT10">'Tabelas e Graficos NT'!$AS$57:$AV$64</definedName>
    <definedName name="TAB_NT2">'Tabelas e Graficos NT'!$B$5:$I$11</definedName>
    <definedName name="TAB_NT4">'Tabelas e Graficos NT'!$K$14:$L$19</definedName>
    <definedName name="TAB_NT5">'Tabelas e Graficos NT'!$N$21:$R$25</definedName>
    <definedName name="TAB_NT6A">'Tabelas e Graficos NT'!$T$29:$V$32</definedName>
    <definedName name="TAB_NT6B">'Tabelas e Graficos NT'!$T$34:$X$39</definedName>
    <definedName name="TAB_NT7">'Tabelas e Graficos NT'!$Z$41:$AD$45</definedName>
    <definedName name="TAB_NT8">'Tabelas e Graficos NT'!$AF$48:$AH$53</definedName>
    <definedName name="TAB_NTsub">'Tabelas e Graficos NT'!$BE$78:$BF$86</definedName>
    <definedName name="teta_K_BT">Aux_Fatores!$I$14</definedName>
    <definedName name="teta_k_MT">Aux_Fatores!$I$13</definedName>
    <definedName name="TR_CCD_A2_FP">'FIO A'!$AA$45</definedName>
    <definedName name="TR_CCD_A2_P">'FIO A'!$T$45</definedName>
    <definedName name="TR_CCD_A3_FP">'FIO A'!$AA$46</definedName>
    <definedName name="TR_CCD_A3_P">'FIO A'!$T$46</definedName>
    <definedName name="TR_CCD_BT_FP">'FIO A'!$AA$48</definedName>
    <definedName name="TR_CCD_BT_P">'FIO A'!$T$48</definedName>
    <definedName name="TR_CCD_MT_FP">'FIO A'!$AA$47</definedName>
    <definedName name="TR_CCD_MT_P">'FIO A'!$T$47</definedName>
    <definedName name="TR_CCT_A2_FP">'FIO A'!$AA$33</definedName>
    <definedName name="TR_CCT_A2_P">'FIO A'!$T$33</definedName>
    <definedName name="TR_CCT_A3_FP">'FIO A'!$AA$34</definedName>
    <definedName name="TR_CCT_A3_P">'FIO A'!$T$34</definedName>
    <definedName name="TR_CCT_BT_FP">'FIO A'!$AA$36</definedName>
    <definedName name="TR_CCT_BT_P">'FIO A'!$T$36</definedName>
    <definedName name="TR_CCT_MT_FP">'FIO A'!$AA$35</definedName>
    <definedName name="TR_CCT_MT_P">'FIO A'!$T$35</definedName>
    <definedName name="TR_CUSD_A2_FP">'FIO A'!$AA$57</definedName>
    <definedName name="TR_CUSD_A2_P">'FIO A'!$T$57</definedName>
    <definedName name="TR_CUSD_A3_FP">'FIO A'!$AA$58</definedName>
    <definedName name="TR_CUSD_A3_P">'FIO A'!$T$58</definedName>
    <definedName name="TR_CUSD_BT_FP">'FIO A'!$AA$60</definedName>
    <definedName name="TR_CUSD_BT_P">'FIO A'!$T$60</definedName>
    <definedName name="TR_CUSD_MT_FP">'FIO A'!$AA$59</definedName>
    <definedName name="TR_CUSD_MT_P">'FIO A'!$T$59</definedName>
    <definedName name="TR_FIOA_A2_FP">'FIO A'!$P$67</definedName>
    <definedName name="TR_FIOA_A2_P">'FIO A'!$H$67</definedName>
    <definedName name="TR_FIOA_A3_FP">'FIO A'!$P$68</definedName>
    <definedName name="TR_FIOA_A3_P">'FIO A'!$H$68</definedName>
    <definedName name="TR_FIOA_BT_FP">'FIO A'!$P$70</definedName>
    <definedName name="TR_FIOA_BT_MWh">'FIO A'!$P$75</definedName>
    <definedName name="TR_FIOA_BT_P">'FIO A'!$H$70</definedName>
    <definedName name="TR_FIOA_MT_FP">'FIO A'!$P$69</definedName>
    <definedName name="TR_FIOA_MT_P">'FIO A'!$H$69</definedName>
    <definedName name="TR_FIOB_A2_FP">'FIO B'!$L$7</definedName>
    <definedName name="TR_FIOB_A2_P">'FIO B'!$K$7</definedName>
    <definedName name="TR_FIOB_A3_FP">'FIO B'!$L$8</definedName>
    <definedName name="TR_FIOB_A3_P">'FIO B'!$K$8</definedName>
    <definedName name="TR_FIOB_AS_FP">'FIO B'!$L$10</definedName>
    <definedName name="TR_FIOB_AS_P">'FIO B'!$K$10</definedName>
    <definedName name="TR_FIOB_BT_FP">'FIO B'!$L$11</definedName>
    <definedName name="TR_FIOB_BT_MWh">'FIO B'!$M$11</definedName>
    <definedName name="TR_FIOB_BT_P">'FIO B'!$K$11</definedName>
    <definedName name="TR_FIOB_MT_FP">'FIO B'!$L$9</definedName>
    <definedName name="TR_FIOB_MT_P">'FIO B'!$K$9</definedName>
    <definedName name="TR_FR_A2_FP">'FIO A'!$AA$21</definedName>
    <definedName name="TR_FR_A2_P">'FIO A'!$T$21</definedName>
    <definedName name="TR_FR_A3_FP">'FIO A'!$AA$22</definedName>
    <definedName name="TR_FR_A3_P">'FIO A'!$T$22</definedName>
    <definedName name="TR_FR_BT_FP">'FIO A'!$AA$24</definedName>
    <definedName name="TR_FR_BT_P">'FIO A'!$T$24</definedName>
    <definedName name="TR_FR_MT_FP">'FIO A'!$AA$23</definedName>
    <definedName name="TR_FR_MT_P">'FIO A'!$T$23</definedName>
    <definedName name="TR_RB_A2_FP">'FIO A'!$AA$9</definedName>
    <definedName name="TR_RB_A2_P">'FIO A'!$T$9</definedName>
    <definedName name="TR_RB_A3_FP">'FIO A'!$AA$10</definedName>
    <definedName name="TR_RB_A3_P">'FIO A'!$T$10</definedName>
    <definedName name="TR_RB_BT_FP">'FIO A'!$AA$12</definedName>
    <definedName name="TR_RB_BT_P">'FIO A'!$T$12</definedName>
    <definedName name="TR_RB_MT_FP">'FIO A'!$AA$11</definedName>
    <definedName name="TR_RB_MT_P">'FIO A'!$T$11</definedName>
    <definedName name="v_G_BT_1">Custo_Medio!$G$90</definedName>
    <definedName name="v_G_BT_2">Custo_Medio!$G$91</definedName>
    <definedName name="v_G_MT">Custo_Medio!$G$89</definedName>
    <definedName name="WACC">'DADOS-Diversos'!$C$7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23" l="1"/>
  <c r="Q77" i="123"/>
  <c r="Q76" i="123"/>
  <c r="Q75" i="123"/>
  <c r="Q74" i="123"/>
  <c r="Q73" i="123"/>
  <c r="Q72" i="123"/>
  <c r="Q71" i="123"/>
  <c r="Q70" i="123"/>
  <c r="Q69" i="123"/>
  <c r="Q68" i="123"/>
  <c r="Q67" i="123"/>
  <c r="Q66" i="123"/>
  <c r="Q65" i="123"/>
  <c r="Q64" i="123"/>
  <c r="Q63" i="123"/>
  <c r="Q62" i="123"/>
  <c r="Q61" i="123"/>
  <c r="Q60" i="123"/>
  <c r="Q59" i="123"/>
  <c r="Q58" i="123"/>
  <c r="Q57" i="123"/>
  <c r="Q56" i="123"/>
  <c r="Q55" i="123"/>
  <c r="Q54" i="123"/>
  <c r="O77" i="123"/>
  <c r="O76" i="123"/>
  <c r="O75" i="123"/>
  <c r="O74" i="123"/>
  <c r="O73" i="123"/>
  <c r="O72" i="123"/>
  <c r="O71" i="123"/>
  <c r="O70" i="123"/>
  <c r="O69" i="123"/>
  <c r="O68" i="123"/>
  <c r="O67" i="123"/>
  <c r="O66" i="123"/>
  <c r="O65" i="123"/>
  <c r="O64" i="123"/>
  <c r="O63" i="123"/>
  <c r="O62" i="123"/>
  <c r="O61" i="123"/>
  <c r="O60" i="123"/>
  <c r="O59" i="123"/>
  <c r="O58" i="123"/>
  <c r="O57" i="123"/>
  <c r="O56" i="123"/>
  <c r="O55" i="123"/>
  <c r="O54" i="123"/>
  <c r="N77" i="123"/>
  <c r="N76" i="123"/>
  <c r="N75" i="123"/>
  <c r="N74" i="123"/>
  <c r="N73" i="123"/>
  <c r="N72" i="123"/>
  <c r="N71" i="123"/>
  <c r="N70" i="123"/>
  <c r="N69" i="123"/>
  <c r="N68" i="123"/>
  <c r="N67" i="123"/>
  <c r="N66" i="123"/>
  <c r="N65" i="123"/>
  <c r="N64" i="123"/>
  <c r="N63" i="123"/>
  <c r="N62" i="123"/>
  <c r="N61" i="123"/>
  <c r="N60" i="123"/>
  <c r="N59" i="123"/>
  <c r="N58" i="123"/>
  <c r="N57" i="123"/>
  <c r="N56" i="123"/>
  <c r="N55" i="123"/>
  <c r="N54" i="123"/>
  <c r="M77" i="123"/>
  <c r="M76" i="123"/>
  <c r="M75" i="123"/>
  <c r="M74" i="123"/>
  <c r="M73" i="123"/>
  <c r="M72" i="123"/>
  <c r="M71" i="123"/>
  <c r="M70" i="123"/>
  <c r="M69" i="123"/>
  <c r="M68" i="123"/>
  <c r="M67" i="123"/>
  <c r="M66" i="123"/>
  <c r="M65" i="123"/>
  <c r="M64" i="123"/>
  <c r="M63" i="123"/>
  <c r="M62" i="123"/>
  <c r="M61" i="123"/>
  <c r="M60" i="123"/>
  <c r="M59" i="123"/>
  <c r="M58" i="123"/>
  <c r="M57" i="123"/>
  <c r="M56" i="123"/>
  <c r="M55" i="123"/>
  <c r="M54" i="123"/>
  <c r="L77" i="123"/>
  <c r="L76" i="123"/>
  <c r="L75" i="123"/>
  <c r="L74" i="123"/>
  <c r="L73" i="123"/>
  <c r="L72" i="123"/>
  <c r="L71" i="123"/>
  <c r="L70" i="123"/>
  <c r="L69" i="123"/>
  <c r="L68" i="123"/>
  <c r="L67" i="123"/>
  <c r="L66" i="123"/>
  <c r="L65" i="123"/>
  <c r="L64" i="123"/>
  <c r="L63" i="123"/>
  <c r="L62" i="123"/>
  <c r="L61" i="123"/>
  <c r="L60" i="123"/>
  <c r="L59" i="123"/>
  <c r="L58" i="123"/>
  <c r="L57" i="123"/>
  <c r="L56" i="123"/>
  <c r="L55" i="123"/>
  <c r="L54" i="123"/>
  <c r="P77" i="123"/>
  <c r="P76" i="123"/>
  <c r="P75" i="123"/>
  <c r="P74" i="123"/>
  <c r="P73" i="123"/>
  <c r="P72" i="123"/>
  <c r="P71" i="123"/>
  <c r="P70" i="123"/>
  <c r="P69" i="123"/>
  <c r="P68" i="123"/>
  <c r="P67" i="123"/>
  <c r="P66" i="123"/>
  <c r="P65" i="123"/>
  <c r="P64" i="123"/>
  <c r="P63" i="123"/>
  <c r="P62" i="123"/>
  <c r="P61" i="123"/>
  <c r="P60" i="123"/>
  <c r="P59" i="123"/>
  <c r="P58" i="123"/>
  <c r="P57" i="123"/>
  <c r="P56" i="123"/>
  <c r="P55" i="123"/>
  <c r="P54" i="123"/>
  <c r="K77" i="123"/>
  <c r="K76" i="123"/>
  <c r="K75" i="123"/>
  <c r="K74" i="123"/>
  <c r="K73" i="123"/>
  <c r="K72" i="123"/>
  <c r="K71" i="123"/>
  <c r="K70" i="123"/>
  <c r="K69" i="123"/>
  <c r="K68" i="123"/>
  <c r="K67" i="123"/>
  <c r="K66" i="123"/>
  <c r="K65" i="123"/>
  <c r="K64" i="123"/>
  <c r="K63" i="123"/>
  <c r="K62" i="123"/>
  <c r="K61" i="123"/>
  <c r="K60" i="123"/>
  <c r="K59" i="123"/>
  <c r="K58" i="123"/>
  <c r="K57" i="123"/>
  <c r="K56" i="123"/>
  <c r="K55" i="123"/>
  <c r="K54" i="123"/>
  <c r="J77" i="123"/>
  <c r="J76" i="123"/>
  <c r="J75" i="123"/>
  <c r="J74" i="123"/>
  <c r="J73" i="123"/>
  <c r="J72" i="123"/>
  <c r="J71" i="123"/>
  <c r="J70" i="123"/>
  <c r="J69" i="123"/>
  <c r="J68" i="123"/>
  <c r="J67" i="123"/>
  <c r="J66" i="123"/>
  <c r="J65" i="123"/>
  <c r="J64" i="123"/>
  <c r="J63" i="123"/>
  <c r="J62" i="123"/>
  <c r="J61" i="123"/>
  <c r="J60" i="123"/>
  <c r="J59" i="123"/>
  <c r="J58" i="123"/>
  <c r="J57" i="123"/>
  <c r="J56" i="123"/>
  <c r="J55" i="123"/>
  <c r="J54" i="123"/>
  <c r="I77" i="123"/>
  <c r="I76" i="123"/>
  <c r="I75" i="123"/>
  <c r="I74" i="123"/>
  <c r="I73" i="123"/>
  <c r="I72" i="123"/>
  <c r="I71" i="123"/>
  <c r="I70" i="123"/>
  <c r="I69" i="123"/>
  <c r="I68" i="123"/>
  <c r="I67" i="123"/>
  <c r="I66" i="123"/>
  <c r="I65" i="123"/>
  <c r="I64" i="123"/>
  <c r="I63" i="123"/>
  <c r="I62" i="123"/>
  <c r="I61" i="123"/>
  <c r="I60" i="123"/>
  <c r="I59" i="123"/>
  <c r="I58" i="123"/>
  <c r="I57" i="123"/>
  <c r="I56" i="123"/>
  <c r="I55" i="123"/>
  <c r="I54" i="123"/>
  <c r="H77" i="123"/>
  <c r="H76" i="123"/>
  <c r="H75" i="123"/>
  <c r="H74" i="123"/>
  <c r="H73" i="123"/>
  <c r="H72" i="123"/>
  <c r="H71" i="123"/>
  <c r="H70" i="123"/>
  <c r="H69" i="123"/>
  <c r="H68" i="123"/>
  <c r="H67" i="123"/>
  <c r="H66" i="123"/>
  <c r="H65" i="123"/>
  <c r="H64" i="123"/>
  <c r="H63" i="123"/>
  <c r="H62" i="123"/>
  <c r="H61" i="123"/>
  <c r="H60" i="123"/>
  <c r="H59" i="123"/>
  <c r="H58" i="123"/>
  <c r="H57" i="123"/>
  <c r="H56" i="123"/>
  <c r="H55" i="123"/>
  <c r="H54" i="123"/>
  <c r="G77" i="123"/>
  <c r="G76" i="123"/>
  <c r="G75" i="123"/>
  <c r="G74" i="123"/>
  <c r="G73" i="123"/>
  <c r="G72" i="123"/>
  <c r="G71" i="123"/>
  <c r="G70" i="123"/>
  <c r="G69" i="123"/>
  <c r="G68" i="123"/>
  <c r="G67" i="123"/>
  <c r="G66" i="123"/>
  <c r="G65" i="123"/>
  <c r="G64" i="123"/>
  <c r="G63" i="123"/>
  <c r="G62" i="123"/>
  <c r="G61" i="123"/>
  <c r="G60" i="123"/>
  <c r="G59" i="123"/>
  <c r="G58" i="123"/>
  <c r="G57" i="123"/>
  <c r="G56" i="123"/>
  <c r="G55" i="123"/>
  <c r="G54" i="123"/>
  <c r="F77" i="123"/>
  <c r="F76" i="123"/>
  <c r="F75" i="123"/>
  <c r="F74" i="123"/>
  <c r="F73" i="123"/>
  <c r="F72" i="123"/>
  <c r="F71" i="123"/>
  <c r="F70" i="123"/>
  <c r="F69" i="123"/>
  <c r="F68" i="123"/>
  <c r="F67" i="123"/>
  <c r="F66" i="123"/>
  <c r="F65" i="123"/>
  <c r="F64" i="123"/>
  <c r="F63" i="123"/>
  <c r="F62" i="123"/>
  <c r="F61" i="123"/>
  <c r="F60" i="123"/>
  <c r="F59" i="123"/>
  <c r="F58" i="123"/>
  <c r="F57" i="123"/>
  <c r="F56" i="123"/>
  <c r="F55" i="123"/>
  <c r="F54" i="123"/>
  <c r="E77" i="123"/>
  <c r="E76" i="123"/>
  <c r="E75" i="123"/>
  <c r="E74" i="123"/>
  <c r="E73" i="123"/>
  <c r="E72" i="123"/>
  <c r="E71" i="123"/>
  <c r="E70" i="123"/>
  <c r="E69" i="123"/>
  <c r="E68" i="123"/>
  <c r="E67" i="123"/>
  <c r="E66" i="123"/>
  <c r="E65" i="123"/>
  <c r="E64" i="123"/>
  <c r="E63" i="123"/>
  <c r="E62" i="123"/>
  <c r="E61" i="123"/>
  <c r="E60" i="123"/>
  <c r="E59" i="123"/>
  <c r="E58" i="123"/>
  <c r="E57" i="123"/>
  <c r="E56" i="123"/>
  <c r="E55" i="123"/>
  <c r="E54" i="123"/>
  <c r="D77" i="123"/>
  <c r="D76" i="123"/>
  <c r="D75" i="123"/>
  <c r="D74" i="123"/>
  <c r="D73" i="123"/>
  <c r="D72" i="123"/>
  <c r="D71" i="123"/>
  <c r="D70" i="123"/>
  <c r="D69" i="123"/>
  <c r="D68" i="123"/>
  <c r="D67" i="123"/>
  <c r="D66" i="123"/>
  <c r="D65" i="123"/>
  <c r="D64" i="123"/>
  <c r="D63" i="123"/>
  <c r="D62" i="123"/>
  <c r="D61" i="123"/>
  <c r="D60" i="123"/>
  <c r="D59" i="123"/>
  <c r="D58" i="123"/>
  <c r="D57" i="123"/>
  <c r="D56" i="123"/>
  <c r="D55" i="123"/>
  <c r="D54" i="123"/>
  <c r="C77" i="123"/>
  <c r="C76" i="123"/>
  <c r="C75" i="123"/>
  <c r="C74" i="123"/>
  <c r="C73" i="123"/>
  <c r="C72" i="123"/>
  <c r="C71" i="123"/>
  <c r="C70" i="123"/>
  <c r="C69" i="123"/>
  <c r="C68" i="123"/>
  <c r="C67" i="123"/>
  <c r="C66" i="123"/>
  <c r="C65" i="123"/>
  <c r="C64" i="123"/>
  <c r="C63" i="123"/>
  <c r="C62" i="123"/>
  <c r="C61" i="123"/>
  <c r="C60" i="123"/>
  <c r="C59" i="123"/>
  <c r="C58" i="123"/>
  <c r="C57" i="123"/>
  <c r="C56" i="123"/>
  <c r="C55" i="123"/>
  <c r="C54" i="123"/>
  <c r="B77" i="123"/>
  <c r="B76" i="123"/>
  <c r="B75" i="123"/>
  <c r="C104" i="123" s="1"/>
  <c r="B74" i="123"/>
  <c r="B73" i="123"/>
  <c r="C102" i="123" s="1"/>
  <c r="B72" i="123"/>
  <c r="B71" i="123"/>
  <c r="B70" i="123"/>
  <c r="B69" i="123"/>
  <c r="B68" i="123"/>
  <c r="B67" i="123"/>
  <c r="C96" i="123" s="1"/>
  <c r="B66" i="123"/>
  <c r="B65" i="123"/>
  <c r="C94" i="123" s="1"/>
  <c r="B64" i="123"/>
  <c r="B63" i="123"/>
  <c r="B62" i="123"/>
  <c r="B61" i="123"/>
  <c r="B60" i="123"/>
  <c r="B59" i="123"/>
  <c r="C88" i="123" s="1"/>
  <c r="B58" i="123"/>
  <c r="B57" i="123"/>
  <c r="C86" i="123" s="1"/>
  <c r="B56" i="123"/>
  <c r="B55" i="123"/>
  <c r="B54" i="123"/>
  <c r="AO25" i="123"/>
  <c r="AO24" i="123"/>
  <c r="AO23" i="123"/>
  <c r="AO22" i="123"/>
  <c r="AO21" i="123"/>
  <c r="AO20" i="123"/>
  <c r="AO19" i="123"/>
  <c r="AO18" i="123"/>
  <c r="AO17" i="123"/>
  <c r="AO16" i="123"/>
  <c r="AO15" i="123"/>
  <c r="AO14" i="123"/>
  <c r="AO13" i="123"/>
  <c r="AO12" i="123"/>
  <c r="AO11" i="123"/>
  <c r="AO10" i="123"/>
  <c r="AO9" i="123"/>
  <c r="AO8" i="123"/>
  <c r="AO7" i="123"/>
  <c r="AO6" i="123"/>
  <c r="AO5" i="123"/>
  <c r="AO4" i="123"/>
  <c r="AO3" i="123"/>
  <c r="AO2" i="123"/>
  <c r="AN25" i="123"/>
  <c r="AN24" i="123"/>
  <c r="AN23" i="123"/>
  <c r="AN22" i="123"/>
  <c r="AN21" i="123"/>
  <c r="AN20" i="123"/>
  <c r="AN19" i="123"/>
  <c r="AN18" i="123"/>
  <c r="AN17" i="123"/>
  <c r="AN16" i="123"/>
  <c r="AN15" i="123"/>
  <c r="AN14" i="123"/>
  <c r="AN13" i="123"/>
  <c r="AN12" i="123"/>
  <c r="AN11" i="123"/>
  <c r="AN10" i="123"/>
  <c r="AN9" i="123"/>
  <c r="AN8" i="123"/>
  <c r="AN7" i="123"/>
  <c r="AN6" i="123"/>
  <c r="AN5" i="123"/>
  <c r="AN4" i="123"/>
  <c r="AN3" i="123"/>
  <c r="AN2" i="123"/>
  <c r="AM25" i="123"/>
  <c r="AM24" i="123"/>
  <c r="AM23" i="123"/>
  <c r="AM22" i="123"/>
  <c r="AM21" i="123"/>
  <c r="AM20" i="123"/>
  <c r="AM19" i="123"/>
  <c r="AM18" i="123"/>
  <c r="AM17" i="123"/>
  <c r="AM16" i="123"/>
  <c r="AM15" i="123"/>
  <c r="AM14" i="123"/>
  <c r="AM13" i="123"/>
  <c r="AM12" i="123"/>
  <c r="AM11" i="123"/>
  <c r="AM10" i="123"/>
  <c r="AM9" i="123"/>
  <c r="AM8" i="123"/>
  <c r="AM7" i="123"/>
  <c r="AM6" i="123"/>
  <c r="AM5" i="123"/>
  <c r="AM4" i="123"/>
  <c r="AM3" i="123"/>
  <c r="AM2" i="123"/>
  <c r="AL25" i="123"/>
  <c r="AL24" i="123"/>
  <c r="AL23" i="123"/>
  <c r="AL22" i="123"/>
  <c r="AL21" i="123"/>
  <c r="AL20" i="123"/>
  <c r="AL19" i="123"/>
  <c r="AL18" i="123"/>
  <c r="AL17" i="123"/>
  <c r="AL16" i="123"/>
  <c r="AL15" i="123"/>
  <c r="AL14" i="123"/>
  <c r="AL13" i="123"/>
  <c r="AL12" i="123"/>
  <c r="AL11" i="123"/>
  <c r="AL10" i="123"/>
  <c r="AL9" i="123"/>
  <c r="AL8" i="123"/>
  <c r="AL7" i="123"/>
  <c r="AL6" i="123"/>
  <c r="AL5" i="123"/>
  <c r="AL4" i="123"/>
  <c r="AL3" i="123"/>
  <c r="AL2" i="123"/>
  <c r="AK25" i="123"/>
  <c r="AK24" i="123"/>
  <c r="AK23" i="123"/>
  <c r="AK22" i="123"/>
  <c r="AK21" i="123"/>
  <c r="AK20" i="123"/>
  <c r="AK19" i="123"/>
  <c r="AK18" i="123"/>
  <c r="AK17" i="123"/>
  <c r="AK16" i="123"/>
  <c r="AK15" i="123"/>
  <c r="AK14" i="123"/>
  <c r="AK13" i="123"/>
  <c r="AK12" i="123"/>
  <c r="AK11" i="123"/>
  <c r="AK10" i="123"/>
  <c r="AK9" i="123"/>
  <c r="AK8" i="123"/>
  <c r="AK7" i="123"/>
  <c r="AK6" i="123"/>
  <c r="AK5" i="123"/>
  <c r="AK4" i="123"/>
  <c r="AK3" i="123"/>
  <c r="AK2" i="123"/>
  <c r="AJ25" i="123"/>
  <c r="AJ24" i="123"/>
  <c r="AJ23" i="123"/>
  <c r="AJ22" i="123"/>
  <c r="AJ21" i="123"/>
  <c r="AJ20" i="123"/>
  <c r="AJ19" i="123"/>
  <c r="AJ18" i="123"/>
  <c r="AJ17" i="123"/>
  <c r="AJ16" i="123"/>
  <c r="AJ15" i="123"/>
  <c r="AJ14" i="123"/>
  <c r="AJ13" i="123"/>
  <c r="AJ12" i="123"/>
  <c r="AJ11" i="123"/>
  <c r="AJ10" i="123"/>
  <c r="AJ9" i="123"/>
  <c r="AJ8" i="123"/>
  <c r="AJ7" i="123"/>
  <c r="AJ6" i="123"/>
  <c r="AJ5" i="123"/>
  <c r="AJ4" i="123"/>
  <c r="AJ3" i="123"/>
  <c r="AJ2" i="123"/>
  <c r="AI25" i="123"/>
  <c r="AI24" i="123"/>
  <c r="AI23" i="123"/>
  <c r="AI22" i="123"/>
  <c r="AI21" i="123"/>
  <c r="AI20" i="123"/>
  <c r="AI19" i="123"/>
  <c r="AI18" i="123"/>
  <c r="AI17" i="123"/>
  <c r="AI16" i="123"/>
  <c r="AI15" i="123"/>
  <c r="AI14" i="123"/>
  <c r="AI13" i="123"/>
  <c r="AI12" i="123"/>
  <c r="AI11" i="123"/>
  <c r="AI10" i="123"/>
  <c r="AI9" i="123"/>
  <c r="AI8" i="123"/>
  <c r="AI7" i="123"/>
  <c r="AI6" i="123"/>
  <c r="AI5" i="123"/>
  <c r="AI4" i="123"/>
  <c r="AI3" i="123"/>
  <c r="AI2" i="123"/>
  <c r="AH25" i="123"/>
  <c r="AH24" i="123"/>
  <c r="AH23" i="123"/>
  <c r="AH22" i="123"/>
  <c r="AH21" i="123"/>
  <c r="AH20" i="123"/>
  <c r="AH19" i="123"/>
  <c r="AH18" i="123"/>
  <c r="AH17" i="123"/>
  <c r="AH16" i="123"/>
  <c r="AH15" i="123"/>
  <c r="AH14" i="123"/>
  <c r="AH13" i="123"/>
  <c r="AH12" i="123"/>
  <c r="AH11" i="123"/>
  <c r="AH10" i="123"/>
  <c r="AH9" i="123"/>
  <c r="AH8" i="123"/>
  <c r="AH7" i="123"/>
  <c r="AH6" i="123"/>
  <c r="AH5" i="123"/>
  <c r="AH4" i="123"/>
  <c r="AH3" i="123"/>
  <c r="AH2" i="123"/>
  <c r="AG25" i="123"/>
  <c r="AG24" i="123"/>
  <c r="AG23" i="123"/>
  <c r="AG22" i="123"/>
  <c r="AG21" i="123"/>
  <c r="AG20" i="123"/>
  <c r="AG19" i="123"/>
  <c r="AG18" i="123"/>
  <c r="AG17" i="123"/>
  <c r="AG16" i="123"/>
  <c r="AG15" i="123"/>
  <c r="AG14" i="123"/>
  <c r="AG13" i="123"/>
  <c r="AG12" i="123"/>
  <c r="AG11" i="123"/>
  <c r="AG10" i="123"/>
  <c r="AG9" i="123"/>
  <c r="AG8" i="123"/>
  <c r="AG7" i="123"/>
  <c r="AG6" i="123"/>
  <c r="AG5" i="123"/>
  <c r="AG4" i="123"/>
  <c r="AG3" i="123"/>
  <c r="AG2" i="123"/>
  <c r="AF25" i="123"/>
  <c r="AF24" i="123"/>
  <c r="AF23" i="123"/>
  <c r="AF22" i="123"/>
  <c r="AF21" i="123"/>
  <c r="AF20" i="123"/>
  <c r="AF19" i="123"/>
  <c r="AF18" i="123"/>
  <c r="AF17" i="123"/>
  <c r="AF16" i="123"/>
  <c r="AF15" i="123"/>
  <c r="AF14" i="123"/>
  <c r="AF13" i="123"/>
  <c r="AF12" i="123"/>
  <c r="AF11" i="123"/>
  <c r="AF10" i="123"/>
  <c r="AF9" i="123"/>
  <c r="AF8" i="123"/>
  <c r="AF7" i="123"/>
  <c r="AF6" i="123"/>
  <c r="AF5" i="123"/>
  <c r="AF4" i="123"/>
  <c r="AF3" i="123"/>
  <c r="AF2" i="123"/>
  <c r="AE25" i="123"/>
  <c r="AE24" i="123"/>
  <c r="AE23" i="123"/>
  <c r="AE22" i="123"/>
  <c r="AE21" i="123"/>
  <c r="AE20" i="123"/>
  <c r="AE19" i="123"/>
  <c r="AE18" i="123"/>
  <c r="AE17" i="123"/>
  <c r="AE16" i="123"/>
  <c r="AE15" i="123"/>
  <c r="AE14" i="123"/>
  <c r="AE13" i="123"/>
  <c r="AE12" i="123"/>
  <c r="AE11" i="123"/>
  <c r="AE10" i="123"/>
  <c r="AE9" i="123"/>
  <c r="AE8" i="123"/>
  <c r="AE7" i="123"/>
  <c r="AE6" i="123"/>
  <c r="AE5" i="123"/>
  <c r="AE4" i="123"/>
  <c r="AE3" i="123"/>
  <c r="AE2" i="123"/>
  <c r="AD25" i="123"/>
  <c r="AD24" i="123"/>
  <c r="AD23" i="123"/>
  <c r="AD22" i="123"/>
  <c r="AD21" i="123"/>
  <c r="AD20" i="123"/>
  <c r="AD19" i="123"/>
  <c r="AD18" i="123"/>
  <c r="AD17" i="123"/>
  <c r="AD16" i="123"/>
  <c r="AD15" i="123"/>
  <c r="AD14" i="123"/>
  <c r="AD13" i="123"/>
  <c r="AD12" i="123"/>
  <c r="AD11" i="123"/>
  <c r="AD10" i="123"/>
  <c r="AD9" i="123"/>
  <c r="AD8" i="123"/>
  <c r="AD7" i="123"/>
  <c r="AD6" i="123"/>
  <c r="AD5" i="123"/>
  <c r="AD4" i="123"/>
  <c r="AD3" i="123"/>
  <c r="AD2" i="123"/>
  <c r="AC25" i="123"/>
  <c r="AC24" i="123"/>
  <c r="AC23" i="123"/>
  <c r="AC22" i="123"/>
  <c r="AC21" i="123"/>
  <c r="AC20" i="123"/>
  <c r="AC19" i="123"/>
  <c r="AC18" i="123"/>
  <c r="AC17" i="123"/>
  <c r="AC16" i="123"/>
  <c r="AC15" i="123"/>
  <c r="AC14" i="123"/>
  <c r="AC13" i="123"/>
  <c r="AC12" i="123"/>
  <c r="AC11" i="123"/>
  <c r="AC10" i="123"/>
  <c r="AC9" i="123"/>
  <c r="AC8" i="123"/>
  <c r="AC7" i="123"/>
  <c r="AC6" i="123"/>
  <c r="AC5" i="123"/>
  <c r="AC4" i="123"/>
  <c r="AC3" i="123"/>
  <c r="AC2" i="123"/>
  <c r="AB25" i="123"/>
  <c r="AB24" i="123"/>
  <c r="AB23" i="123"/>
  <c r="AB22" i="123"/>
  <c r="AB21" i="123"/>
  <c r="AB20" i="123"/>
  <c r="AB19" i="123"/>
  <c r="AB18" i="123"/>
  <c r="AB17" i="123"/>
  <c r="AB16" i="123"/>
  <c r="AB15" i="123"/>
  <c r="AB14" i="123"/>
  <c r="AB13" i="123"/>
  <c r="AB12" i="123"/>
  <c r="AB11" i="123"/>
  <c r="AB10" i="123"/>
  <c r="AB9" i="123"/>
  <c r="AB8" i="123"/>
  <c r="AB7" i="123"/>
  <c r="AB6" i="123"/>
  <c r="AB5" i="123"/>
  <c r="AB4" i="123"/>
  <c r="AB3" i="123"/>
  <c r="AB2" i="123"/>
  <c r="AA25" i="123"/>
  <c r="AA24" i="123"/>
  <c r="AA23" i="123"/>
  <c r="AA22" i="123"/>
  <c r="AA21" i="123"/>
  <c r="AA20" i="123"/>
  <c r="AA19" i="123"/>
  <c r="AA18" i="123"/>
  <c r="AA17" i="123"/>
  <c r="AA16" i="123"/>
  <c r="AA15" i="123"/>
  <c r="AA14" i="123"/>
  <c r="AA13" i="123"/>
  <c r="AA12" i="123"/>
  <c r="AA11" i="123"/>
  <c r="AA10" i="123"/>
  <c r="AA9" i="123"/>
  <c r="AA8" i="123"/>
  <c r="AA7" i="123"/>
  <c r="AA6" i="123"/>
  <c r="AA5" i="123"/>
  <c r="AA4" i="123"/>
  <c r="AA3" i="123"/>
  <c r="AA2" i="123"/>
  <c r="Z25" i="123"/>
  <c r="Z24" i="123"/>
  <c r="Z23" i="123"/>
  <c r="Z22" i="123"/>
  <c r="Z21" i="123"/>
  <c r="Z20" i="123"/>
  <c r="Z19" i="123"/>
  <c r="Z18" i="123"/>
  <c r="Z17" i="123"/>
  <c r="Z16" i="123"/>
  <c r="Z15" i="123"/>
  <c r="Z14" i="123"/>
  <c r="Z13" i="123"/>
  <c r="Z12" i="123"/>
  <c r="Z11" i="123"/>
  <c r="Z10" i="123"/>
  <c r="Z9" i="123"/>
  <c r="Z8" i="123"/>
  <c r="Z7" i="123"/>
  <c r="Z6" i="123"/>
  <c r="Z5" i="123"/>
  <c r="Z4" i="123"/>
  <c r="Z3" i="123"/>
  <c r="Z2" i="123"/>
  <c r="Y25" i="123"/>
  <c r="Y24" i="123"/>
  <c r="Y23" i="123"/>
  <c r="Y22" i="123"/>
  <c r="Y21" i="123"/>
  <c r="Y20" i="123"/>
  <c r="Y19" i="123"/>
  <c r="Y18" i="123"/>
  <c r="Y17" i="123"/>
  <c r="Y16" i="123"/>
  <c r="Y15" i="123"/>
  <c r="Y14" i="123"/>
  <c r="Y13" i="123"/>
  <c r="Y12" i="123"/>
  <c r="Y11" i="123"/>
  <c r="Y10" i="123"/>
  <c r="Y9" i="123"/>
  <c r="Y8" i="123"/>
  <c r="Y7" i="123"/>
  <c r="Y6" i="123"/>
  <c r="Y5" i="123"/>
  <c r="Y4" i="123"/>
  <c r="Y3" i="123"/>
  <c r="Y2" i="123"/>
  <c r="X25" i="123"/>
  <c r="X24" i="123"/>
  <c r="X23" i="123"/>
  <c r="X22" i="123"/>
  <c r="X21" i="123"/>
  <c r="X20" i="123"/>
  <c r="X19" i="123"/>
  <c r="X18" i="123"/>
  <c r="X17" i="123"/>
  <c r="X16" i="123"/>
  <c r="X15" i="123"/>
  <c r="X14" i="123"/>
  <c r="X13" i="123"/>
  <c r="X12" i="123"/>
  <c r="X11" i="123"/>
  <c r="X10" i="123"/>
  <c r="X9" i="123"/>
  <c r="X8" i="123"/>
  <c r="X7" i="123"/>
  <c r="X6" i="123"/>
  <c r="X5" i="123"/>
  <c r="X4" i="123"/>
  <c r="X3" i="123"/>
  <c r="X2" i="123"/>
  <c r="W25" i="123"/>
  <c r="W24" i="123"/>
  <c r="W23" i="123"/>
  <c r="W22" i="123"/>
  <c r="W21" i="123"/>
  <c r="W20" i="123"/>
  <c r="W19" i="123"/>
  <c r="W18" i="123"/>
  <c r="W17" i="123"/>
  <c r="W16" i="123"/>
  <c r="W15" i="123"/>
  <c r="W14" i="123"/>
  <c r="W13" i="123"/>
  <c r="W12" i="123"/>
  <c r="W11" i="123"/>
  <c r="W10" i="123"/>
  <c r="W9" i="123"/>
  <c r="W8" i="123"/>
  <c r="W7" i="123"/>
  <c r="W6" i="123"/>
  <c r="W5" i="123"/>
  <c r="W4" i="123"/>
  <c r="W3" i="123"/>
  <c r="W2" i="123"/>
  <c r="V25" i="123"/>
  <c r="V24" i="123"/>
  <c r="V23" i="123"/>
  <c r="V22" i="123"/>
  <c r="V21" i="123"/>
  <c r="V20" i="123"/>
  <c r="V19" i="123"/>
  <c r="V18" i="123"/>
  <c r="V17" i="123"/>
  <c r="V16" i="123"/>
  <c r="V15" i="123"/>
  <c r="V14" i="123"/>
  <c r="V13" i="123"/>
  <c r="V12" i="123"/>
  <c r="V11" i="123"/>
  <c r="V10" i="123"/>
  <c r="V9" i="123"/>
  <c r="V8" i="123"/>
  <c r="V7" i="123"/>
  <c r="V6" i="123"/>
  <c r="V5" i="123"/>
  <c r="V4" i="123"/>
  <c r="V3" i="123"/>
  <c r="V2" i="123"/>
  <c r="U25" i="123"/>
  <c r="U24" i="123"/>
  <c r="U23" i="123"/>
  <c r="U22" i="123"/>
  <c r="U21" i="123"/>
  <c r="U20" i="123"/>
  <c r="U19" i="123"/>
  <c r="U18" i="123"/>
  <c r="U17" i="123"/>
  <c r="U16" i="123"/>
  <c r="U15" i="123"/>
  <c r="U14" i="123"/>
  <c r="U13" i="123"/>
  <c r="U12" i="123"/>
  <c r="U11" i="123"/>
  <c r="U10" i="123"/>
  <c r="U9" i="123"/>
  <c r="U8" i="123"/>
  <c r="U7" i="123"/>
  <c r="U6" i="123"/>
  <c r="U5" i="123"/>
  <c r="U4" i="123"/>
  <c r="U3" i="123"/>
  <c r="U2" i="123"/>
  <c r="T25" i="123"/>
  <c r="T24" i="123"/>
  <c r="T23" i="123"/>
  <c r="T22" i="123"/>
  <c r="T21" i="123"/>
  <c r="T20" i="123"/>
  <c r="T19" i="123"/>
  <c r="T18" i="123"/>
  <c r="T17" i="123"/>
  <c r="T16" i="123"/>
  <c r="T15" i="123"/>
  <c r="T14" i="123"/>
  <c r="T13" i="123"/>
  <c r="T12" i="123"/>
  <c r="T11" i="123"/>
  <c r="T10" i="123"/>
  <c r="T9" i="123"/>
  <c r="T8" i="123"/>
  <c r="T7" i="123"/>
  <c r="T6" i="123"/>
  <c r="T5" i="123"/>
  <c r="T4" i="123"/>
  <c r="T3" i="123"/>
  <c r="T2" i="123"/>
  <c r="S25" i="123"/>
  <c r="S24" i="123"/>
  <c r="S23" i="123"/>
  <c r="S22" i="123"/>
  <c r="S21" i="123"/>
  <c r="S20" i="123"/>
  <c r="S19" i="123"/>
  <c r="S18" i="123"/>
  <c r="S17" i="123"/>
  <c r="S16" i="123"/>
  <c r="S15" i="123"/>
  <c r="S14" i="123"/>
  <c r="S13" i="123"/>
  <c r="S12" i="123"/>
  <c r="S11" i="123"/>
  <c r="S10" i="123"/>
  <c r="S9" i="123"/>
  <c r="S8" i="123"/>
  <c r="S7" i="123"/>
  <c r="S6" i="123"/>
  <c r="S5" i="123"/>
  <c r="S4" i="123"/>
  <c r="S3" i="123"/>
  <c r="S2" i="123"/>
  <c r="R25" i="123"/>
  <c r="R24" i="123"/>
  <c r="R23" i="123"/>
  <c r="R22" i="123"/>
  <c r="R21" i="123"/>
  <c r="R20" i="123"/>
  <c r="R19" i="123"/>
  <c r="R18" i="123"/>
  <c r="R17" i="123"/>
  <c r="R16" i="123"/>
  <c r="R15" i="123"/>
  <c r="R14" i="123"/>
  <c r="R13" i="123"/>
  <c r="R12" i="123"/>
  <c r="R11" i="123"/>
  <c r="R10" i="123"/>
  <c r="R9" i="123"/>
  <c r="R8" i="123"/>
  <c r="R7" i="123"/>
  <c r="R6" i="123"/>
  <c r="R5" i="123"/>
  <c r="R4" i="123"/>
  <c r="R3" i="123"/>
  <c r="R2" i="123"/>
  <c r="Q25" i="123"/>
  <c r="Q24" i="123"/>
  <c r="Q23" i="123"/>
  <c r="Q22" i="123"/>
  <c r="Q21" i="123"/>
  <c r="Q20" i="123"/>
  <c r="Q19" i="123"/>
  <c r="Q18" i="123"/>
  <c r="Q17" i="123"/>
  <c r="Q16" i="123"/>
  <c r="Q15" i="123"/>
  <c r="Q14" i="123"/>
  <c r="Q13" i="123"/>
  <c r="Q12" i="123"/>
  <c r="Q11" i="123"/>
  <c r="Q10" i="123"/>
  <c r="Q9" i="123"/>
  <c r="Q8" i="123"/>
  <c r="Q7" i="123"/>
  <c r="Q6" i="123"/>
  <c r="Q5" i="123"/>
  <c r="Q4" i="123"/>
  <c r="Q3" i="123"/>
  <c r="Q2" i="123"/>
  <c r="P25" i="123"/>
  <c r="P24" i="123"/>
  <c r="P23" i="123"/>
  <c r="P22" i="123"/>
  <c r="P21" i="123"/>
  <c r="P20" i="123"/>
  <c r="P19" i="123"/>
  <c r="P18" i="123"/>
  <c r="P17" i="123"/>
  <c r="P16" i="123"/>
  <c r="P15" i="123"/>
  <c r="P14" i="123"/>
  <c r="P13" i="123"/>
  <c r="P12" i="123"/>
  <c r="P11" i="123"/>
  <c r="P10" i="123"/>
  <c r="P9" i="123"/>
  <c r="P8" i="123"/>
  <c r="P7" i="123"/>
  <c r="P6" i="123"/>
  <c r="P5" i="123"/>
  <c r="P4" i="123"/>
  <c r="P3" i="123"/>
  <c r="P2" i="123"/>
  <c r="O25" i="123"/>
  <c r="I51" i="123" s="1"/>
  <c r="O24" i="123"/>
  <c r="I50" i="123" s="1"/>
  <c r="O23" i="123"/>
  <c r="I49" i="123" s="1"/>
  <c r="O22" i="123"/>
  <c r="I48" i="123" s="1"/>
  <c r="O21" i="123"/>
  <c r="I47" i="123" s="1"/>
  <c r="O20" i="123"/>
  <c r="I46" i="123" s="1"/>
  <c r="O19" i="123"/>
  <c r="I45" i="123" s="1"/>
  <c r="O18" i="123"/>
  <c r="I44" i="123" s="1"/>
  <c r="O17" i="123"/>
  <c r="I43" i="123" s="1"/>
  <c r="O16" i="123"/>
  <c r="I42" i="123" s="1"/>
  <c r="O15" i="123"/>
  <c r="I41" i="123" s="1"/>
  <c r="O14" i="123"/>
  <c r="I40" i="123" s="1"/>
  <c r="O13" i="123"/>
  <c r="I39" i="123" s="1"/>
  <c r="O12" i="123"/>
  <c r="I38" i="123" s="1"/>
  <c r="O11" i="123"/>
  <c r="I37" i="123" s="1"/>
  <c r="O10" i="123"/>
  <c r="I36" i="123" s="1"/>
  <c r="O9" i="123"/>
  <c r="I35" i="123" s="1"/>
  <c r="O8" i="123"/>
  <c r="I34" i="123" s="1"/>
  <c r="O7" i="123"/>
  <c r="I33" i="123" s="1"/>
  <c r="O6" i="123"/>
  <c r="I32" i="123" s="1"/>
  <c r="O5" i="123"/>
  <c r="I31" i="123" s="1"/>
  <c r="O4" i="123"/>
  <c r="I30" i="123" s="1"/>
  <c r="O3" i="123"/>
  <c r="I29" i="123" s="1"/>
  <c r="O2" i="123"/>
  <c r="I28" i="123" s="1"/>
  <c r="N25" i="123"/>
  <c r="N24" i="123"/>
  <c r="N23" i="123"/>
  <c r="N22" i="123"/>
  <c r="N21" i="123"/>
  <c r="N20" i="123"/>
  <c r="N19" i="123"/>
  <c r="N18" i="123"/>
  <c r="N17" i="123"/>
  <c r="N16" i="123"/>
  <c r="N15" i="123"/>
  <c r="N14" i="123"/>
  <c r="N13" i="123"/>
  <c r="N12" i="123"/>
  <c r="N11" i="123"/>
  <c r="N10" i="123"/>
  <c r="N9" i="123"/>
  <c r="N8" i="123"/>
  <c r="N7" i="123"/>
  <c r="N6" i="123"/>
  <c r="N5" i="123"/>
  <c r="N4" i="123"/>
  <c r="N3" i="123"/>
  <c r="N2" i="123"/>
  <c r="M25" i="123"/>
  <c r="M24" i="123"/>
  <c r="M23" i="123"/>
  <c r="M22" i="123"/>
  <c r="M21" i="123"/>
  <c r="M20" i="123"/>
  <c r="M19" i="123"/>
  <c r="M18" i="123"/>
  <c r="M17" i="123"/>
  <c r="M16" i="123"/>
  <c r="M15" i="123"/>
  <c r="M14" i="123"/>
  <c r="M13" i="123"/>
  <c r="M12" i="123"/>
  <c r="M11" i="123"/>
  <c r="M10" i="123"/>
  <c r="M9" i="123"/>
  <c r="M8" i="123"/>
  <c r="M7" i="123"/>
  <c r="M6" i="123"/>
  <c r="M5" i="123"/>
  <c r="M4" i="123"/>
  <c r="M3" i="123"/>
  <c r="M2" i="123"/>
  <c r="L25" i="123"/>
  <c r="L24" i="123"/>
  <c r="L23" i="123"/>
  <c r="L22" i="123"/>
  <c r="L21" i="123"/>
  <c r="L20" i="123"/>
  <c r="L19" i="123"/>
  <c r="L18" i="123"/>
  <c r="L17" i="123"/>
  <c r="L16" i="123"/>
  <c r="L15" i="123"/>
  <c r="L14" i="123"/>
  <c r="L13" i="123"/>
  <c r="L12" i="123"/>
  <c r="L11" i="123"/>
  <c r="L10" i="123"/>
  <c r="L9" i="123"/>
  <c r="L8" i="123"/>
  <c r="L7" i="123"/>
  <c r="L6" i="123"/>
  <c r="L5" i="123"/>
  <c r="L4" i="123"/>
  <c r="L3" i="123"/>
  <c r="L2" i="123"/>
  <c r="K25" i="123"/>
  <c r="K24" i="123"/>
  <c r="K23" i="123"/>
  <c r="K22" i="123"/>
  <c r="K21" i="123"/>
  <c r="K20" i="123"/>
  <c r="K19" i="123"/>
  <c r="K18" i="123"/>
  <c r="K17" i="123"/>
  <c r="K16" i="123"/>
  <c r="K15" i="123"/>
  <c r="K14" i="123"/>
  <c r="K13" i="123"/>
  <c r="K12" i="123"/>
  <c r="K11" i="123"/>
  <c r="K10" i="123"/>
  <c r="K9" i="123"/>
  <c r="K8" i="123"/>
  <c r="K7" i="123"/>
  <c r="K6" i="123"/>
  <c r="K5" i="123"/>
  <c r="K4" i="123"/>
  <c r="K3" i="123"/>
  <c r="K2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J6" i="123"/>
  <c r="J5" i="123"/>
  <c r="J4" i="123"/>
  <c r="J3" i="123"/>
  <c r="J2" i="123"/>
  <c r="I25" i="123"/>
  <c r="I24" i="123"/>
  <c r="I23" i="123"/>
  <c r="I22" i="123"/>
  <c r="I21" i="123"/>
  <c r="I20" i="123"/>
  <c r="I19" i="123"/>
  <c r="I18" i="123"/>
  <c r="I17" i="123"/>
  <c r="I16" i="123"/>
  <c r="I15" i="123"/>
  <c r="I14" i="123"/>
  <c r="I13" i="123"/>
  <c r="I12" i="123"/>
  <c r="I11" i="123"/>
  <c r="I10" i="123"/>
  <c r="I9" i="123"/>
  <c r="I8" i="123"/>
  <c r="I7" i="123"/>
  <c r="I6" i="123"/>
  <c r="I5" i="123"/>
  <c r="I4" i="123"/>
  <c r="I3" i="123"/>
  <c r="I2" i="123"/>
  <c r="H25" i="123"/>
  <c r="H24" i="123"/>
  <c r="H23" i="123"/>
  <c r="H22" i="123"/>
  <c r="H21" i="123"/>
  <c r="H20" i="123"/>
  <c r="H19" i="123"/>
  <c r="H18" i="123"/>
  <c r="H17" i="123"/>
  <c r="H16" i="123"/>
  <c r="H15" i="123"/>
  <c r="H14" i="123"/>
  <c r="H13" i="123"/>
  <c r="H12" i="123"/>
  <c r="H11" i="123"/>
  <c r="H10" i="123"/>
  <c r="H9" i="123"/>
  <c r="H8" i="123"/>
  <c r="H7" i="123"/>
  <c r="H6" i="123"/>
  <c r="H5" i="123"/>
  <c r="H4" i="123"/>
  <c r="H3" i="123"/>
  <c r="H2" i="123"/>
  <c r="G25" i="123"/>
  <c r="G24" i="123"/>
  <c r="G23" i="123"/>
  <c r="G22" i="123"/>
  <c r="G21" i="123"/>
  <c r="G20" i="123"/>
  <c r="G19" i="123"/>
  <c r="G18" i="123"/>
  <c r="G17" i="123"/>
  <c r="G16" i="123"/>
  <c r="G15" i="123"/>
  <c r="G14" i="123"/>
  <c r="G13" i="123"/>
  <c r="G12" i="123"/>
  <c r="G11" i="123"/>
  <c r="G10" i="123"/>
  <c r="G9" i="123"/>
  <c r="G8" i="123"/>
  <c r="G7" i="123"/>
  <c r="G6" i="123"/>
  <c r="G5" i="123"/>
  <c r="G4" i="123"/>
  <c r="G3" i="123"/>
  <c r="G2" i="123"/>
  <c r="F25" i="123"/>
  <c r="F24" i="123"/>
  <c r="F23" i="123"/>
  <c r="F22" i="123"/>
  <c r="F21" i="123"/>
  <c r="F20" i="123"/>
  <c r="F19" i="123"/>
  <c r="F18" i="123"/>
  <c r="F17" i="123"/>
  <c r="F16" i="123"/>
  <c r="F15" i="123"/>
  <c r="F14" i="123"/>
  <c r="F13" i="123"/>
  <c r="F12" i="123"/>
  <c r="F11" i="123"/>
  <c r="F10" i="123"/>
  <c r="F9" i="123"/>
  <c r="F8" i="123"/>
  <c r="F7" i="123"/>
  <c r="F6" i="123"/>
  <c r="F5" i="123"/>
  <c r="F4" i="123"/>
  <c r="F3" i="123"/>
  <c r="F2" i="123"/>
  <c r="E25" i="123"/>
  <c r="E24" i="123"/>
  <c r="E23" i="123"/>
  <c r="E22" i="123"/>
  <c r="E21" i="123"/>
  <c r="E20" i="123"/>
  <c r="E19" i="123"/>
  <c r="E18" i="123"/>
  <c r="E17" i="123"/>
  <c r="E16" i="123"/>
  <c r="E15" i="123"/>
  <c r="E14" i="123"/>
  <c r="E13" i="123"/>
  <c r="E12" i="123"/>
  <c r="E11" i="123"/>
  <c r="E10" i="123"/>
  <c r="E9" i="123"/>
  <c r="E8" i="123"/>
  <c r="E7" i="123"/>
  <c r="E6" i="123"/>
  <c r="E5" i="123"/>
  <c r="E4" i="123"/>
  <c r="E3" i="123"/>
  <c r="E2" i="123"/>
  <c r="D25" i="123"/>
  <c r="D24" i="123"/>
  <c r="D23" i="123"/>
  <c r="D22" i="123"/>
  <c r="D21" i="123"/>
  <c r="D20" i="123"/>
  <c r="D19" i="123"/>
  <c r="D18" i="123"/>
  <c r="D17" i="123"/>
  <c r="D16" i="123"/>
  <c r="D15" i="123"/>
  <c r="D14" i="123"/>
  <c r="D13" i="123"/>
  <c r="D12" i="123"/>
  <c r="D11" i="123"/>
  <c r="D10" i="123"/>
  <c r="D9" i="123"/>
  <c r="D8" i="123"/>
  <c r="D7" i="123"/>
  <c r="D6" i="123"/>
  <c r="D5" i="123"/>
  <c r="D4" i="123"/>
  <c r="D3" i="123"/>
  <c r="D2" i="123"/>
  <c r="C25" i="123"/>
  <c r="H51" i="123" s="1"/>
  <c r="C24" i="123"/>
  <c r="H50" i="123" s="1"/>
  <c r="C23" i="123"/>
  <c r="H49" i="123" s="1"/>
  <c r="C22" i="123"/>
  <c r="H48" i="123" s="1"/>
  <c r="C21" i="123"/>
  <c r="H47" i="123" s="1"/>
  <c r="C20" i="123"/>
  <c r="H46" i="123" s="1"/>
  <c r="C19" i="123"/>
  <c r="E45" i="123" s="1"/>
  <c r="C18" i="123"/>
  <c r="H44" i="123" s="1"/>
  <c r="C17" i="123"/>
  <c r="H43" i="123" s="1"/>
  <c r="C16" i="123"/>
  <c r="H42" i="123" s="1"/>
  <c r="C15" i="123"/>
  <c r="C14" i="123"/>
  <c r="C13" i="123"/>
  <c r="H39" i="123" s="1"/>
  <c r="C12" i="123"/>
  <c r="H38" i="123" s="1"/>
  <c r="C11" i="123"/>
  <c r="E37" i="123" s="1"/>
  <c r="C10" i="123"/>
  <c r="H36" i="123" s="1"/>
  <c r="C9" i="123"/>
  <c r="H35" i="123" s="1"/>
  <c r="C8" i="123"/>
  <c r="H34" i="123" s="1"/>
  <c r="C7" i="123"/>
  <c r="H33" i="123" s="1"/>
  <c r="C6" i="123"/>
  <c r="H32" i="123" s="1"/>
  <c r="C5" i="123"/>
  <c r="H31" i="123" s="1"/>
  <c r="C4" i="123"/>
  <c r="H30" i="123" s="1"/>
  <c r="C3" i="123"/>
  <c r="H29" i="123" s="1"/>
  <c r="C2" i="123"/>
  <c r="H28" i="123" s="1"/>
  <c r="B25" i="123"/>
  <c r="Q51" i="123" s="1"/>
  <c r="B24" i="123"/>
  <c r="Q50" i="123" s="1"/>
  <c r="B23" i="123"/>
  <c r="Q49" i="123" s="1"/>
  <c r="B22" i="123"/>
  <c r="Q48" i="123" s="1"/>
  <c r="B21" i="123"/>
  <c r="P47" i="123" s="1"/>
  <c r="B20" i="123"/>
  <c r="Q46" i="123" s="1"/>
  <c r="B19" i="123"/>
  <c r="K45" i="123" s="1"/>
  <c r="B18" i="123"/>
  <c r="Q44" i="123" s="1"/>
  <c r="B17" i="123"/>
  <c r="Q43" i="123" s="1"/>
  <c r="B16" i="123"/>
  <c r="Q42" i="123" s="1"/>
  <c r="B15" i="123"/>
  <c r="B14" i="123"/>
  <c r="B13" i="123"/>
  <c r="M39" i="123" s="1"/>
  <c r="B12" i="123"/>
  <c r="Q38" i="123" s="1"/>
  <c r="B11" i="123"/>
  <c r="G37" i="123" s="1"/>
  <c r="B10" i="123"/>
  <c r="Q36" i="123" s="1"/>
  <c r="B9" i="123"/>
  <c r="Q35" i="123" s="1"/>
  <c r="B8" i="123"/>
  <c r="Q34" i="123" s="1"/>
  <c r="B7" i="123"/>
  <c r="Q33" i="123" s="1"/>
  <c r="B6" i="123"/>
  <c r="Q32" i="123" s="1"/>
  <c r="B5" i="123"/>
  <c r="J31" i="123" s="1"/>
  <c r="B4" i="123"/>
  <c r="Q30" i="123" s="1"/>
  <c r="B3" i="123"/>
  <c r="N29" i="123" s="1"/>
  <c r="B2" i="123"/>
  <c r="Q28" i="123" s="1"/>
  <c r="Q41" i="123" l="1"/>
  <c r="H41" i="123"/>
  <c r="Q40" i="123"/>
  <c r="H40" i="123"/>
  <c r="B116" i="123"/>
  <c r="C37" i="123"/>
  <c r="F29" i="123"/>
  <c r="H37" i="123"/>
  <c r="K29" i="123"/>
  <c r="M37" i="123"/>
  <c r="O37" i="123"/>
  <c r="P37" i="123"/>
  <c r="B30" i="123"/>
  <c r="B38" i="123"/>
  <c r="B93" i="123" s="1"/>
  <c r="B46" i="123"/>
  <c r="C30" i="123"/>
  <c r="C38" i="123"/>
  <c r="C46" i="123"/>
  <c r="D30" i="123"/>
  <c r="D38" i="123"/>
  <c r="D46" i="123"/>
  <c r="E30" i="123"/>
  <c r="E38" i="123"/>
  <c r="E46" i="123"/>
  <c r="F30" i="123"/>
  <c r="F38" i="123"/>
  <c r="F46" i="123"/>
  <c r="G30" i="123"/>
  <c r="G38" i="123"/>
  <c r="G46" i="123"/>
  <c r="J30" i="123"/>
  <c r="J38" i="123"/>
  <c r="J46" i="123"/>
  <c r="K30" i="123"/>
  <c r="K38" i="123"/>
  <c r="K46" i="123"/>
  <c r="L30" i="123"/>
  <c r="L38" i="123"/>
  <c r="L46" i="123"/>
  <c r="M30" i="123"/>
  <c r="M38" i="123"/>
  <c r="M46" i="123"/>
  <c r="N30" i="123"/>
  <c r="N38" i="123"/>
  <c r="N46" i="123"/>
  <c r="O30" i="123"/>
  <c r="O38" i="123"/>
  <c r="O46" i="123"/>
  <c r="P30" i="123"/>
  <c r="P38" i="123"/>
  <c r="P46" i="123"/>
  <c r="C83" i="123"/>
  <c r="C91" i="123"/>
  <c r="C99" i="123"/>
  <c r="B29" i="123"/>
  <c r="C45" i="123"/>
  <c r="E29" i="123"/>
  <c r="G29" i="123"/>
  <c r="K37" i="123"/>
  <c r="L45" i="123"/>
  <c r="O29" i="123"/>
  <c r="P29" i="123"/>
  <c r="Q29" i="123"/>
  <c r="Q45" i="123"/>
  <c r="B39" i="123"/>
  <c r="B94" i="123" s="1"/>
  <c r="D94" i="123" s="1"/>
  <c r="D39" i="123"/>
  <c r="F31" i="123"/>
  <c r="G47" i="123"/>
  <c r="K31" i="123"/>
  <c r="L39" i="123"/>
  <c r="N39" i="123"/>
  <c r="P31" i="123"/>
  <c r="D45" i="123"/>
  <c r="F37" i="123"/>
  <c r="H45" i="123"/>
  <c r="H79" i="123" s="1"/>
  <c r="J45" i="123"/>
  <c r="N45" i="123"/>
  <c r="C47" i="123"/>
  <c r="E39" i="123"/>
  <c r="G39" i="123"/>
  <c r="K39" i="123"/>
  <c r="M31" i="123"/>
  <c r="N31" i="123"/>
  <c r="O39" i="123"/>
  <c r="Q31" i="123"/>
  <c r="Q47" i="123"/>
  <c r="B32" i="123"/>
  <c r="B40" i="123"/>
  <c r="B48" i="123"/>
  <c r="C32" i="123"/>
  <c r="C40" i="123"/>
  <c r="C48" i="123"/>
  <c r="D32" i="123"/>
  <c r="D40" i="123"/>
  <c r="D48" i="123"/>
  <c r="E32" i="123"/>
  <c r="E40" i="123"/>
  <c r="E48" i="123"/>
  <c r="F32" i="123"/>
  <c r="F40" i="123"/>
  <c r="F48" i="123"/>
  <c r="G32" i="123"/>
  <c r="G40" i="123"/>
  <c r="G48" i="123"/>
  <c r="J32" i="123"/>
  <c r="J40" i="123"/>
  <c r="J48" i="123"/>
  <c r="K32" i="123"/>
  <c r="K40" i="123"/>
  <c r="K48" i="123"/>
  <c r="L32" i="123"/>
  <c r="L40" i="123"/>
  <c r="L48" i="123"/>
  <c r="M32" i="123"/>
  <c r="M40" i="123"/>
  <c r="M48" i="123"/>
  <c r="N32" i="123"/>
  <c r="N40" i="123"/>
  <c r="N48" i="123"/>
  <c r="O32" i="123"/>
  <c r="O40" i="123"/>
  <c r="O48" i="123"/>
  <c r="P32" i="123"/>
  <c r="P40" i="123"/>
  <c r="P48" i="123"/>
  <c r="B84" i="123"/>
  <c r="C89" i="123"/>
  <c r="C97" i="123"/>
  <c r="C105" i="123"/>
  <c r="B37" i="123"/>
  <c r="B92" i="123" s="1"/>
  <c r="B45" i="123"/>
  <c r="B100" i="123" s="1"/>
  <c r="G45" i="123"/>
  <c r="J29" i="123"/>
  <c r="L29" i="123"/>
  <c r="M29" i="123"/>
  <c r="N37" i="123"/>
  <c r="O45" i="123"/>
  <c r="P45" i="123"/>
  <c r="Q37" i="123"/>
  <c r="B31" i="123"/>
  <c r="B86" i="123" s="1"/>
  <c r="D86" i="123" s="1"/>
  <c r="C39" i="123"/>
  <c r="E47" i="123"/>
  <c r="G31" i="123"/>
  <c r="J47" i="123"/>
  <c r="L47" i="123"/>
  <c r="N47" i="123"/>
  <c r="O47" i="123"/>
  <c r="Q39" i="123"/>
  <c r="B33" i="123"/>
  <c r="B88" i="123" s="1"/>
  <c r="D88" i="123" s="1"/>
  <c r="B41" i="123"/>
  <c r="B96" i="123" s="1"/>
  <c r="D96" i="123" s="1"/>
  <c r="B49" i="123"/>
  <c r="B104" i="123" s="1"/>
  <c r="D104" i="123" s="1"/>
  <c r="C33" i="123"/>
  <c r="C41" i="123"/>
  <c r="C49" i="123"/>
  <c r="D33" i="123"/>
  <c r="D41" i="123"/>
  <c r="D49" i="123"/>
  <c r="E33" i="123"/>
  <c r="E41" i="123"/>
  <c r="E49" i="123"/>
  <c r="F33" i="123"/>
  <c r="F41" i="123"/>
  <c r="F49" i="123"/>
  <c r="G33" i="123"/>
  <c r="G41" i="123"/>
  <c r="G49" i="123"/>
  <c r="J33" i="123"/>
  <c r="J41" i="123"/>
  <c r="J49" i="123"/>
  <c r="K33" i="123"/>
  <c r="K41" i="123"/>
  <c r="K49" i="123"/>
  <c r="L33" i="123"/>
  <c r="L41" i="123"/>
  <c r="L49" i="123"/>
  <c r="M33" i="123"/>
  <c r="M41" i="123"/>
  <c r="M49" i="123"/>
  <c r="N33" i="123"/>
  <c r="N41" i="123"/>
  <c r="N49" i="123"/>
  <c r="O33" i="123"/>
  <c r="O41" i="123"/>
  <c r="O49" i="123"/>
  <c r="P33" i="123"/>
  <c r="P41" i="123"/>
  <c r="P49" i="123"/>
  <c r="C84" i="123"/>
  <c r="B87" i="123"/>
  <c r="C92" i="123"/>
  <c r="B95" i="123"/>
  <c r="C100" i="123"/>
  <c r="B103" i="123"/>
  <c r="C29" i="123"/>
  <c r="J37" i="123"/>
  <c r="M45" i="123"/>
  <c r="C31" i="123"/>
  <c r="D47" i="123"/>
  <c r="F39" i="123"/>
  <c r="J39" i="123"/>
  <c r="L31" i="123"/>
  <c r="M47" i="123"/>
  <c r="P39" i="123"/>
  <c r="B34" i="123"/>
  <c r="B89" i="123" s="1"/>
  <c r="B42" i="123"/>
  <c r="B97" i="123" s="1"/>
  <c r="B50" i="123"/>
  <c r="B105" i="123" s="1"/>
  <c r="C34" i="123"/>
  <c r="C42" i="123"/>
  <c r="C50" i="123"/>
  <c r="D34" i="123"/>
  <c r="D42" i="123"/>
  <c r="D50" i="123"/>
  <c r="E34" i="123"/>
  <c r="E42" i="123"/>
  <c r="E50" i="123"/>
  <c r="F34" i="123"/>
  <c r="F42" i="123"/>
  <c r="F50" i="123"/>
  <c r="G34" i="123"/>
  <c r="G42" i="123"/>
  <c r="G50" i="123"/>
  <c r="J34" i="123"/>
  <c r="J42" i="123"/>
  <c r="J50" i="123"/>
  <c r="K34" i="123"/>
  <c r="K42" i="123"/>
  <c r="K50" i="123"/>
  <c r="L34" i="123"/>
  <c r="L42" i="123"/>
  <c r="L50" i="123"/>
  <c r="M34" i="123"/>
  <c r="M42" i="123"/>
  <c r="M50" i="123"/>
  <c r="N34" i="123"/>
  <c r="N42" i="123"/>
  <c r="N50" i="123"/>
  <c r="O34" i="123"/>
  <c r="O42" i="123"/>
  <c r="O50" i="123"/>
  <c r="P34" i="123"/>
  <c r="P42" i="123"/>
  <c r="P50" i="123"/>
  <c r="I79" i="123"/>
  <c r="C87" i="123"/>
  <c r="C95" i="123"/>
  <c r="D95" i="123" s="1"/>
  <c r="C103" i="123"/>
  <c r="D29" i="123"/>
  <c r="F45" i="123"/>
  <c r="L37" i="123"/>
  <c r="B47" i="123"/>
  <c r="B102" i="123" s="1"/>
  <c r="D102" i="123" s="1"/>
  <c r="D31" i="123"/>
  <c r="E31" i="123"/>
  <c r="F47" i="123"/>
  <c r="K47" i="123"/>
  <c r="O31" i="123"/>
  <c r="B35" i="123"/>
  <c r="B90" i="123" s="1"/>
  <c r="B43" i="123"/>
  <c r="B98" i="123" s="1"/>
  <c r="B51" i="123"/>
  <c r="B106" i="123" s="1"/>
  <c r="C35" i="123"/>
  <c r="C43" i="123"/>
  <c r="C51" i="123"/>
  <c r="D35" i="123"/>
  <c r="D43" i="123"/>
  <c r="D51" i="123"/>
  <c r="E35" i="123"/>
  <c r="E43" i="123"/>
  <c r="E51" i="123"/>
  <c r="F35" i="123"/>
  <c r="F43" i="123"/>
  <c r="F51" i="123"/>
  <c r="G35" i="123"/>
  <c r="G43" i="123"/>
  <c r="G51" i="123"/>
  <c r="J35" i="123"/>
  <c r="J43" i="123"/>
  <c r="J51" i="123"/>
  <c r="K35" i="123"/>
  <c r="K43" i="123"/>
  <c r="K51" i="123"/>
  <c r="L35" i="123"/>
  <c r="L43" i="123"/>
  <c r="L51" i="123"/>
  <c r="M35" i="123"/>
  <c r="M43" i="123"/>
  <c r="M51" i="123"/>
  <c r="N35" i="123"/>
  <c r="N43" i="123"/>
  <c r="N51" i="123"/>
  <c r="O35" i="123"/>
  <c r="O43" i="123"/>
  <c r="O51" i="123"/>
  <c r="P35" i="123"/>
  <c r="P43" i="123"/>
  <c r="P51" i="123"/>
  <c r="B85" i="123"/>
  <c r="C90" i="123"/>
  <c r="C98" i="123"/>
  <c r="B101" i="123"/>
  <c r="C106" i="123"/>
  <c r="D37" i="123"/>
  <c r="B28" i="123"/>
  <c r="B36" i="123"/>
  <c r="B91" i="123" s="1"/>
  <c r="B44" i="123"/>
  <c r="B99" i="123" s="1"/>
  <c r="C28" i="123"/>
  <c r="C36" i="123"/>
  <c r="C44" i="123"/>
  <c r="D28" i="123"/>
  <c r="D36" i="123"/>
  <c r="D44" i="123"/>
  <c r="E28" i="123"/>
  <c r="E36" i="123"/>
  <c r="E44" i="123"/>
  <c r="F28" i="123"/>
  <c r="F36" i="123"/>
  <c r="F44" i="123"/>
  <c r="G28" i="123"/>
  <c r="G36" i="123"/>
  <c r="G44" i="123"/>
  <c r="J28" i="123"/>
  <c r="J36" i="123"/>
  <c r="J44" i="123"/>
  <c r="K28" i="123"/>
  <c r="K36" i="123"/>
  <c r="K44" i="123"/>
  <c r="L28" i="123"/>
  <c r="L36" i="123"/>
  <c r="L44" i="123"/>
  <c r="M28" i="123"/>
  <c r="M36" i="123"/>
  <c r="M44" i="123"/>
  <c r="N28" i="123"/>
  <c r="N36" i="123"/>
  <c r="N44" i="123"/>
  <c r="O28" i="123"/>
  <c r="O36" i="123"/>
  <c r="O44" i="123"/>
  <c r="P28" i="123"/>
  <c r="P36" i="123"/>
  <c r="P44" i="123"/>
  <c r="C85" i="123"/>
  <c r="C93" i="123"/>
  <c r="C101" i="123"/>
  <c r="F23" i="15"/>
  <c r="E23" i="15"/>
  <c r="F11" i="15"/>
  <c r="E11" i="15"/>
  <c r="D11" i="15"/>
  <c r="C11" i="15"/>
  <c r="F22" i="15"/>
  <c r="E22" i="15"/>
  <c r="F10" i="15"/>
  <c r="E10" i="15"/>
  <c r="D10" i="15"/>
  <c r="C10" i="15"/>
  <c r="F21" i="15"/>
  <c r="E21" i="15"/>
  <c r="F9" i="15"/>
  <c r="E9" i="15"/>
  <c r="D9" i="15"/>
  <c r="C9" i="15"/>
  <c r="T78" i="7"/>
  <c r="T77" i="7"/>
  <c r="T76" i="7"/>
  <c r="T75" i="7"/>
  <c r="T74" i="7"/>
  <c r="T73" i="7"/>
  <c r="T72" i="7"/>
  <c r="T71" i="7"/>
  <c r="K118" i="7"/>
  <c r="I118" i="7"/>
  <c r="K117" i="7"/>
  <c r="I117" i="7"/>
  <c r="K116" i="7"/>
  <c r="I116" i="7"/>
  <c r="K115" i="7"/>
  <c r="I115" i="7"/>
  <c r="K114" i="7"/>
  <c r="I114" i="7"/>
  <c r="K113" i="7"/>
  <c r="I113" i="7"/>
  <c r="K112" i="7"/>
  <c r="I112" i="7"/>
  <c r="K111" i="7"/>
  <c r="I111" i="7"/>
  <c r="K110" i="7"/>
  <c r="I110" i="7"/>
  <c r="K109" i="7"/>
  <c r="I109" i="7"/>
  <c r="K108" i="7"/>
  <c r="I108" i="7"/>
  <c r="K107" i="7"/>
  <c r="I107" i="7"/>
  <c r="K106" i="7"/>
  <c r="I106" i="7"/>
  <c r="K105" i="7"/>
  <c r="I105" i="7"/>
  <c r="K104" i="7"/>
  <c r="I104" i="7"/>
  <c r="K103" i="7"/>
  <c r="I103" i="7"/>
  <c r="K102" i="7"/>
  <c r="I102" i="7"/>
  <c r="K101" i="7"/>
  <c r="I101" i="7"/>
  <c r="K100" i="7"/>
  <c r="I100" i="7"/>
  <c r="K99" i="7"/>
  <c r="I99" i="7"/>
  <c r="K98" i="7"/>
  <c r="I98" i="7"/>
  <c r="K97" i="7"/>
  <c r="I97" i="7"/>
  <c r="K96" i="7"/>
  <c r="I96" i="7"/>
  <c r="K95" i="7"/>
  <c r="I95" i="7"/>
  <c r="K94" i="7"/>
  <c r="I94" i="7"/>
  <c r="K93" i="7"/>
  <c r="I93" i="7"/>
  <c r="K92" i="7"/>
  <c r="I92" i="7"/>
  <c r="K91" i="7"/>
  <c r="I91" i="7"/>
  <c r="K90" i="7"/>
  <c r="I90" i="7"/>
  <c r="K89" i="7"/>
  <c r="I89" i="7"/>
  <c r="K88" i="7"/>
  <c r="I88" i="7"/>
  <c r="K87" i="7"/>
  <c r="I87" i="7"/>
  <c r="K86" i="7"/>
  <c r="I86" i="7"/>
  <c r="K85" i="7"/>
  <c r="I85" i="7"/>
  <c r="K84" i="7"/>
  <c r="I84" i="7"/>
  <c r="K83" i="7"/>
  <c r="I83" i="7"/>
  <c r="K82" i="7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K74" i="7"/>
  <c r="I74" i="7"/>
  <c r="K73" i="7"/>
  <c r="I73" i="7"/>
  <c r="K72" i="7"/>
  <c r="I72" i="7"/>
  <c r="K71" i="7"/>
  <c r="I71" i="7"/>
  <c r="D103" i="123" l="1"/>
  <c r="F79" i="123"/>
  <c r="B123" i="123"/>
  <c r="D101" i="123"/>
  <c r="B124" i="123"/>
  <c r="B112" i="123"/>
  <c r="B122" i="123"/>
  <c r="B119" i="123"/>
  <c r="D100" i="123"/>
  <c r="N79" i="123"/>
  <c r="B111" i="123"/>
  <c r="D89" i="123"/>
  <c r="D98" i="123"/>
  <c r="B120" i="123"/>
  <c r="D90" i="123"/>
  <c r="M79" i="123"/>
  <c r="D84" i="123"/>
  <c r="Q79" i="123"/>
  <c r="O79" i="123"/>
  <c r="B115" i="123"/>
  <c r="D85" i="123"/>
  <c r="B114" i="123"/>
  <c r="E79" i="123"/>
  <c r="P79" i="123"/>
  <c r="G79" i="123"/>
  <c r="B83" i="123"/>
  <c r="D83" i="123" s="1"/>
  <c r="B109" i="123"/>
  <c r="B121" i="123"/>
  <c r="D106" i="123"/>
  <c r="L79" i="123"/>
  <c r="B118" i="123"/>
  <c r="D105" i="123"/>
  <c r="B113" i="123"/>
  <c r="D79" i="123"/>
  <c r="D93" i="123"/>
  <c r="D91" i="123"/>
  <c r="B110" i="123"/>
  <c r="D87" i="123"/>
  <c r="D97" i="123"/>
  <c r="D99" i="123"/>
  <c r="K79" i="123"/>
  <c r="C79" i="123"/>
  <c r="B117" i="123"/>
  <c r="D92" i="123"/>
  <c r="J79" i="123"/>
  <c r="B79" i="123"/>
  <c r="N62" i="101"/>
  <c r="M62" i="101"/>
  <c r="L62" i="101"/>
  <c r="K62" i="101"/>
  <c r="J62" i="101"/>
  <c r="AC3" i="1" l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X3" i="1"/>
  <c r="V6" i="1" s="1"/>
  <c r="B13" i="90"/>
  <c r="B14" i="90" s="1"/>
  <c r="B15" i="90" s="1"/>
  <c r="B16" i="90" s="1"/>
  <c r="B17" i="90" s="1"/>
  <c r="B18" i="90" s="1"/>
  <c r="B19" i="90" s="1"/>
  <c r="B20" i="90" s="1"/>
  <c r="B21" i="90" s="1"/>
  <c r="B22" i="90" s="1"/>
  <c r="B23" i="90" s="1"/>
  <c r="B24" i="90" s="1"/>
  <c r="B25" i="90" s="1"/>
  <c r="B26" i="90" s="1"/>
  <c r="B27" i="90" s="1"/>
  <c r="B28" i="90" s="1"/>
  <c r="B29" i="90" s="1"/>
  <c r="B30" i="90" s="1"/>
  <c r="B31" i="90" s="1"/>
  <c r="B32" i="90" s="1"/>
  <c r="B33" i="90" s="1"/>
  <c r="B34" i="90" s="1"/>
  <c r="B35" i="90" s="1"/>
  <c r="B36" i="90" s="1"/>
  <c r="V7" i="1" l="1"/>
  <c r="W7" i="1" s="1"/>
  <c r="W6" i="1"/>
  <c r="AD3" i="1"/>
  <c r="A19" i="90"/>
  <c r="A90" i="90" s="1"/>
  <c r="Q18" i="101"/>
  <c r="P18" i="101"/>
  <c r="Q30" i="101"/>
  <c r="P30" i="101"/>
  <c r="V8" i="1" l="1"/>
  <c r="W8" i="1" s="1"/>
  <c r="A21" i="90" s="1"/>
  <c r="A55" i="90"/>
  <c r="A20" i="90"/>
  <c r="I23" i="92"/>
  <c r="V9" i="1" l="1"/>
  <c r="W9" i="1" s="1"/>
  <c r="A22" i="90" s="1"/>
  <c r="A56" i="90"/>
  <c r="A91" i="90"/>
  <c r="A57" i="90"/>
  <c r="A92" i="90"/>
  <c r="V10" i="1"/>
  <c r="W10" i="1" s="1"/>
  <c r="A58" i="90" l="1"/>
  <c r="A93" i="90"/>
  <c r="A23" i="90"/>
  <c r="V11" i="1"/>
  <c r="W11" i="1" s="1"/>
  <c r="L27" i="5"/>
  <c r="A59" i="90" l="1"/>
  <c r="A94" i="90"/>
  <c r="A24" i="90"/>
  <c r="V12" i="1"/>
  <c r="W12" i="1" s="1"/>
  <c r="I10" i="91"/>
  <c r="H10" i="91"/>
  <c r="G10" i="91"/>
  <c r="I9" i="91"/>
  <c r="H9" i="91"/>
  <c r="G9" i="91"/>
  <c r="I7" i="91"/>
  <c r="H7" i="91"/>
  <c r="G7" i="91"/>
  <c r="A60" i="90" l="1"/>
  <c r="A95" i="90"/>
  <c r="V13" i="1"/>
  <c r="W13" i="1" s="1"/>
  <c r="C21" i="11"/>
  <c r="C20" i="11"/>
  <c r="C19" i="11"/>
  <c r="C18" i="11"/>
  <c r="C17" i="11"/>
  <c r="C16" i="11"/>
  <c r="C15" i="11"/>
  <c r="V14" i="1" l="1"/>
  <c r="W14" i="1" s="1"/>
  <c r="Q81" i="101"/>
  <c r="P81" i="101"/>
  <c r="Q75" i="101"/>
  <c r="P75" i="101"/>
  <c r="Q69" i="101"/>
  <c r="P69" i="101"/>
  <c r="V15" i="1" l="1"/>
  <c r="W15" i="1" s="1"/>
  <c r="O62" i="101"/>
  <c r="O49" i="101"/>
  <c r="O48" i="101"/>
  <c r="O38" i="101"/>
  <c r="O37" i="101"/>
  <c r="V16" i="1" l="1"/>
  <c r="W16" i="1" s="1"/>
  <c r="Q83" i="101"/>
  <c r="P83" i="101"/>
  <c r="Q82" i="101"/>
  <c r="P82" i="101"/>
  <c r="Q77" i="101"/>
  <c r="P77" i="101"/>
  <c r="Q76" i="101"/>
  <c r="P76" i="101"/>
  <c r="Q71" i="101"/>
  <c r="P71" i="101"/>
  <c r="Q70" i="101"/>
  <c r="P70" i="101"/>
  <c r="Q65" i="101"/>
  <c r="P65" i="101"/>
  <c r="Q64" i="101"/>
  <c r="P64" i="101"/>
  <c r="Q62" i="101"/>
  <c r="P62" i="101"/>
  <c r="Q50" i="101"/>
  <c r="P50" i="101"/>
  <c r="N49" i="101"/>
  <c r="M49" i="101"/>
  <c r="L49" i="101"/>
  <c r="K49" i="101"/>
  <c r="J49" i="101"/>
  <c r="N48" i="101"/>
  <c r="M48" i="101"/>
  <c r="L48" i="101"/>
  <c r="K48" i="101"/>
  <c r="J48" i="101"/>
  <c r="Q47" i="101"/>
  <c r="P47" i="101"/>
  <c r="Q44" i="101"/>
  <c r="P44" i="101"/>
  <c r="Q42" i="101"/>
  <c r="P42" i="101"/>
  <c r="Q39" i="101"/>
  <c r="P39" i="101"/>
  <c r="N38" i="101"/>
  <c r="M38" i="101"/>
  <c r="L38" i="101"/>
  <c r="K38" i="101"/>
  <c r="J38" i="101"/>
  <c r="N37" i="101"/>
  <c r="M37" i="101"/>
  <c r="L37" i="101"/>
  <c r="K37" i="101"/>
  <c r="J37" i="101"/>
  <c r="Q36" i="101"/>
  <c r="P36" i="101"/>
  <c r="O35" i="101"/>
  <c r="N35" i="101"/>
  <c r="M35" i="101"/>
  <c r="L35" i="101"/>
  <c r="K35" i="101"/>
  <c r="J35" i="101"/>
  <c r="O34" i="101"/>
  <c r="N34" i="101"/>
  <c r="M34" i="101"/>
  <c r="L34" i="101"/>
  <c r="K34" i="101"/>
  <c r="J34" i="101"/>
  <c r="Q33" i="101"/>
  <c r="P33" i="101"/>
  <c r="Q24" i="101"/>
  <c r="P24" i="101"/>
  <c r="O23" i="101"/>
  <c r="N23" i="101"/>
  <c r="M23" i="101"/>
  <c r="L23" i="101"/>
  <c r="K23" i="101"/>
  <c r="J23" i="101"/>
  <c r="O22" i="101"/>
  <c r="N22" i="101"/>
  <c r="M22" i="101"/>
  <c r="L22" i="101"/>
  <c r="K22" i="101"/>
  <c r="J22" i="101"/>
  <c r="Q21" i="101"/>
  <c r="P21" i="101"/>
  <c r="P12" i="101"/>
  <c r="V17" i="1" l="1"/>
  <c r="W17" i="1" s="1"/>
  <c r="K4" i="2"/>
  <c r="V18" i="1" l="1"/>
  <c r="W18" i="1" s="1"/>
  <c r="J4" i="2"/>
  <c r="H4" i="2"/>
  <c r="C4" i="2"/>
  <c r="V19" i="1" l="1"/>
  <c r="W19" i="1" s="1"/>
  <c r="J6" i="2"/>
  <c r="H3" i="101"/>
  <c r="V20" i="1" l="1"/>
  <c r="W20" i="1" s="1"/>
  <c r="V21" i="1" l="1"/>
  <c r="W21" i="1" s="1"/>
  <c r="V22" i="1" l="1"/>
  <c r="W22" i="1" s="1"/>
  <c r="E25" i="1"/>
  <c r="V23" i="1" l="1"/>
  <c r="W23" i="1" s="1"/>
  <c r="BC76" i="91"/>
  <c r="BC75" i="91"/>
  <c r="BC74" i="91"/>
  <c r="BC73" i="91"/>
  <c r="BC72" i="91"/>
  <c r="V24" i="1" l="1"/>
  <c r="W24" i="1" s="1"/>
  <c r="AX72" i="91"/>
  <c r="V25" i="1" l="1"/>
  <c r="W25" i="1" s="1"/>
  <c r="D47" i="2"/>
  <c r="E47" i="2" s="1"/>
  <c r="D49" i="2"/>
  <c r="D46" i="2"/>
  <c r="E46" i="2" s="1"/>
  <c r="V26" i="1" l="1"/>
  <c r="W26" i="1" s="1"/>
  <c r="E49" i="2"/>
  <c r="V27" i="1" l="1"/>
  <c r="W27" i="1" s="1"/>
  <c r="B50" i="2"/>
  <c r="C50" i="2" s="1"/>
  <c r="V28" i="1" l="1"/>
  <c r="W28" i="1" s="1"/>
  <c r="D13" i="2"/>
  <c r="V29" i="1" l="1"/>
  <c r="W29" i="1" s="1"/>
  <c r="G13" i="92"/>
  <c r="G14" i="92"/>
  <c r="G16" i="92"/>
  <c r="G18" i="92"/>
  <c r="G21" i="92"/>
  <c r="G15" i="92"/>
  <c r="G17" i="92"/>
  <c r="G20" i="92"/>
  <c r="G19" i="92"/>
  <c r="A30" i="90" l="1"/>
  <c r="A36" i="90"/>
  <c r="A25" i="90"/>
  <c r="A31" i="90"/>
  <c r="A28" i="90"/>
  <c r="A16" i="90"/>
  <c r="A35" i="90"/>
  <c r="A33" i="90"/>
  <c r="A34" i="90"/>
  <c r="A17" i="90"/>
  <c r="A32" i="90"/>
  <c r="A18" i="90"/>
  <c r="A27" i="90"/>
  <c r="A26" i="90"/>
  <c r="A29" i="90"/>
  <c r="J9" i="2"/>
  <c r="I9" i="2"/>
  <c r="AC13" i="90"/>
  <c r="E31" i="113"/>
  <c r="E30" i="113"/>
  <c r="E28" i="113"/>
  <c r="E27" i="113"/>
  <c r="E25" i="113"/>
  <c r="E24" i="113"/>
  <c r="E22" i="113"/>
  <c r="E21" i="113"/>
  <c r="E19" i="113"/>
  <c r="E18" i="113"/>
  <c r="E16" i="113"/>
  <c r="E15" i="113"/>
  <c r="E13" i="113"/>
  <c r="E12" i="113"/>
  <c r="E10" i="113"/>
  <c r="C31" i="113"/>
  <c r="C30" i="113"/>
  <c r="C28" i="113"/>
  <c r="C27" i="113"/>
  <c r="C25" i="113"/>
  <c r="C24" i="113"/>
  <c r="C22" i="113"/>
  <c r="C21" i="113"/>
  <c r="C19" i="113"/>
  <c r="C18" i="113"/>
  <c r="C16" i="113"/>
  <c r="C15" i="113"/>
  <c r="C13" i="113"/>
  <c r="C12" i="113"/>
  <c r="C10" i="113"/>
  <c r="B31" i="113"/>
  <c r="B30" i="113"/>
  <c r="B28" i="113"/>
  <c r="B27" i="113"/>
  <c r="B25" i="113"/>
  <c r="B24" i="113"/>
  <c r="B22" i="113"/>
  <c r="B21" i="113"/>
  <c r="B19" i="113"/>
  <c r="B18" i="113"/>
  <c r="B16" i="113"/>
  <c r="B15" i="113"/>
  <c r="B13" i="113"/>
  <c r="B12" i="113"/>
  <c r="B10" i="113"/>
  <c r="B9" i="113"/>
  <c r="A65" i="90" l="1"/>
  <c r="A100" i="90"/>
  <c r="A104" i="90"/>
  <c r="A69" i="90"/>
  <c r="A106" i="90"/>
  <c r="A71" i="90"/>
  <c r="A64" i="90"/>
  <c r="A99" i="90"/>
  <c r="A97" i="90"/>
  <c r="A62" i="90"/>
  <c r="A67" i="90"/>
  <c r="A102" i="90"/>
  <c r="A89" i="90"/>
  <c r="A54" i="90"/>
  <c r="A68" i="90"/>
  <c r="A103" i="90"/>
  <c r="A96" i="90"/>
  <c r="A61" i="90"/>
  <c r="A98" i="90"/>
  <c r="A63" i="90"/>
  <c r="A88" i="90"/>
  <c r="A53" i="90"/>
  <c r="A72" i="90"/>
  <c r="A107" i="90"/>
  <c r="A52" i="90"/>
  <c r="BL41" i="90"/>
  <c r="AJ78" i="90"/>
  <c r="BR42" i="90"/>
  <c r="BU78" i="90"/>
  <c r="AS42" i="90"/>
  <c r="BP41" i="90"/>
  <c r="AY42" i="90"/>
  <c r="BE77" i="90"/>
  <c r="BL78" i="90"/>
  <c r="BG77" i="90"/>
  <c r="BN77" i="90"/>
  <c r="BO41" i="90"/>
  <c r="AX42" i="90"/>
  <c r="BD77" i="90"/>
  <c r="BK78" i="90"/>
  <c r="AH41" i="90"/>
  <c r="AD78" i="90"/>
  <c r="AD41" i="90"/>
  <c r="BU41" i="90"/>
  <c r="BD42" i="90"/>
  <c r="BJ77" i="90"/>
  <c r="BQ78" i="90"/>
  <c r="AY78" i="90"/>
  <c r="AO42" i="90"/>
  <c r="AZ78" i="90"/>
  <c r="AM41" i="90"/>
  <c r="AJ77" i="90"/>
  <c r="AG42" i="90"/>
  <c r="AU42" i="90"/>
  <c r="AS77" i="90"/>
  <c r="BJ42" i="90"/>
  <c r="BM78" i="90"/>
  <c r="BV77" i="90"/>
  <c r="BH41" i="90"/>
  <c r="AQ42" i="90"/>
  <c r="AW77" i="90"/>
  <c r="BD78" i="90"/>
  <c r="AI77" i="90"/>
  <c r="AP77" i="90"/>
  <c r="BG41" i="90"/>
  <c r="AP42" i="90"/>
  <c r="AV77" i="90"/>
  <c r="BC78" i="90"/>
  <c r="BU42" i="90"/>
  <c r="BA42" i="90"/>
  <c r="BM41" i="90"/>
  <c r="AV42" i="90"/>
  <c r="BB77" i="90"/>
  <c r="BI78" i="90"/>
  <c r="A87" i="90"/>
  <c r="BW42" i="90"/>
  <c r="BV42" i="90"/>
  <c r="BF41" i="90"/>
  <c r="AQ78" i="90"/>
  <c r="BP42" i="90"/>
  <c r="AZ42" i="90"/>
  <c r="BD41" i="90"/>
  <c r="AF41" i="90"/>
  <c r="AK77" i="90"/>
  <c r="BK42" i="90"/>
  <c r="BS41" i="90"/>
  <c r="BB42" i="90"/>
  <c r="BP77" i="90"/>
  <c r="BW78" i="90"/>
  <c r="BE78" i="90"/>
  <c r="BW77" i="90"/>
  <c r="AX77" i="90"/>
  <c r="AZ41" i="90"/>
  <c r="AI42" i="90"/>
  <c r="AO77" i="90"/>
  <c r="AV78" i="90"/>
  <c r="AH77" i="90"/>
  <c r="AY41" i="90"/>
  <c r="AH42" i="90"/>
  <c r="AN77" i="90"/>
  <c r="AU78" i="90"/>
  <c r="BN78" i="90"/>
  <c r="BM42" i="90"/>
  <c r="BS77" i="90"/>
  <c r="BE41" i="90"/>
  <c r="AN42" i="90"/>
  <c r="AT77" i="90"/>
  <c r="BA78" i="90"/>
  <c r="AN41" i="90"/>
  <c r="AD42" i="90"/>
  <c r="AS41" i="90"/>
  <c r="BB78" i="90"/>
  <c r="AX78" i="90"/>
  <c r="AJ42" i="90"/>
  <c r="AT78" i="90"/>
  <c r="BF78" i="90"/>
  <c r="AM42" i="90"/>
  <c r="BK41" i="90"/>
  <c r="AT42" i="90"/>
  <c r="BH77" i="90"/>
  <c r="BO78" i="90"/>
  <c r="AW78" i="90"/>
  <c r="AY77" i="90"/>
  <c r="AR41" i="90"/>
  <c r="AG77" i="90"/>
  <c r="AN78" i="90"/>
  <c r="AP78" i="90"/>
  <c r="AQ41" i="90"/>
  <c r="AF77" i="90"/>
  <c r="AM78" i="90"/>
  <c r="AH78" i="90"/>
  <c r="BQ41" i="90"/>
  <c r="BV41" i="90"/>
  <c r="BE42" i="90"/>
  <c r="BK77" i="90"/>
  <c r="BR78" i="90"/>
  <c r="BO77" i="90"/>
  <c r="BA41" i="90"/>
  <c r="AW41" i="90"/>
  <c r="AF42" i="90"/>
  <c r="AL77" i="90"/>
  <c r="AS78" i="90"/>
  <c r="BQ77" i="90"/>
  <c r="AU41" i="90"/>
  <c r="BJ41" i="90"/>
  <c r="BQ42" i="90"/>
  <c r="AU77" i="90"/>
  <c r="BS42" i="90"/>
  <c r="BB41" i="90"/>
  <c r="BU77" i="90"/>
  <c r="AK42" i="90"/>
  <c r="BT77" i="90"/>
  <c r="AM77" i="90"/>
  <c r="BR41" i="90"/>
  <c r="AE42" i="90"/>
  <c r="BT41" i="90"/>
  <c r="BI77" i="90"/>
  <c r="BP78" i="90"/>
  <c r="BC41" i="90"/>
  <c r="AL42" i="90"/>
  <c r="AZ77" i="90"/>
  <c r="BG78" i="90"/>
  <c r="AO78" i="90"/>
  <c r="AJ41" i="90"/>
  <c r="AF78" i="90"/>
  <c r="AL41" i="90"/>
  <c r="BI41" i="90"/>
  <c r="AI41" i="90"/>
  <c r="AE78" i="90"/>
  <c r="AK41" i="90"/>
  <c r="BN41" i="90"/>
  <c r="AW42" i="90"/>
  <c r="BC77" i="90"/>
  <c r="BJ78" i="90"/>
  <c r="AQ77" i="90"/>
  <c r="BF77" i="90"/>
  <c r="AO41" i="90"/>
  <c r="AD77" i="90"/>
  <c r="AK78" i="90"/>
  <c r="BH78" i="90"/>
  <c r="AR77" i="90"/>
  <c r="AG78" i="90"/>
  <c r="BV78" i="90"/>
  <c r="BH42" i="90"/>
  <c r="AG41" i="90"/>
  <c r="BO42" i="90"/>
  <c r="BN42" i="90"/>
  <c r="AX41" i="90"/>
  <c r="BT42" i="90"/>
  <c r="BC42" i="90"/>
  <c r="BA77" i="90"/>
  <c r="AR78" i="90"/>
  <c r="AE41" i="90"/>
  <c r="AI78" i="90"/>
  <c r="BI42" i="90"/>
  <c r="AR42" i="90"/>
  <c r="BG42" i="90"/>
  <c r="BM77" i="90"/>
  <c r="BT78" i="90"/>
  <c r="BW41" i="90"/>
  <c r="BF42" i="90"/>
  <c r="BL77" i="90"/>
  <c r="BS78" i="90"/>
  <c r="AP41" i="90"/>
  <c r="AE77" i="90"/>
  <c r="AL78" i="90"/>
  <c r="AT41" i="90"/>
  <c r="BL42" i="90"/>
  <c r="BR77" i="90"/>
  <c r="AV41" i="90"/>
  <c r="A105" i="90"/>
  <c r="A70" i="90"/>
  <c r="A66" i="90"/>
  <c r="A101" i="90"/>
  <c r="C9" i="113"/>
  <c r="E9" i="113"/>
  <c r="C10" i="2" l="1"/>
  <c r="Q25" i="1" l="1"/>
  <c r="R24" i="1"/>
  <c r="Q23" i="1"/>
  <c r="K23" i="1"/>
  <c r="P23" i="1" s="1"/>
  <c r="C35" i="2"/>
  <c r="C34" i="2"/>
  <c r="C33" i="2"/>
  <c r="C32" i="2"/>
  <c r="C31" i="2"/>
  <c r="G26" i="2"/>
  <c r="G25" i="2"/>
  <c r="G24" i="2"/>
  <c r="G23" i="2"/>
  <c r="G22" i="2"/>
  <c r="G16" i="2"/>
  <c r="G15" i="2"/>
  <c r="G14" i="2"/>
  <c r="C16" i="2"/>
  <c r="C15" i="2"/>
  <c r="C14" i="2"/>
  <c r="C13" i="2"/>
  <c r="C12" i="2"/>
  <c r="C11" i="2"/>
  <c r="D16" i="2"/>
  <c r="D15" i="2"/>
  <c r="D14" i="2"/>
  <c r="D12" i="2"/>
  <c r="D11" i="2"/>
  <c r="C1" i="2"/>
  <c r="F68" i="92" l="1"/>
  <c r="F69" i="92"/>
  <c r="F67" i="92"/>
  <c r="G64" i="8" l="1"/>
  <c r="F10" i="17" l="1"/>
  <c r="E10" i="17"/>
  <c r="F9" i="17"/>
  <c r="E9" i="17"/>
  <c r="E8" i="17"/>
  <c r="F8" i="17"/>
  <c r="F7" i="17"/>
  <c r="E7" i="17"/>
  <c r="M14" i="101" l="1"/>
  <c r="K13" i="101"/>
  <c r="Q15" i="101"/>
  <c r="O13" i="101"/>
  <c r="K14" i="101"/>
  <c r="J14" i="101"/>
  <c r="P15" i="101"/>
  <c r="N13" i="101"/>
  <c r="O14" i="101"/>
  <c r="M13" i="101"/>
  <c r="N14" i="101"/>
  <c r="L13" i="101"/>
  <c r="L14" i="101"/>
  <c r="J13" i="101"/>
  <c r="O26" i="101"/>
  <c r="M25" i="101"/>
  <c r="K26" i="101"/>
  <c r="M26" i="101"/>
  <c r="K25" i="101"/>
  <c r="L26" i="101"/>
  <c r="J25" i="101"/>
  <c r="J26" i="101"/>
  <c r="Q27" i="101"/>
  <c r="O25" i="101"/>
  <c r="P27" i="101"/>
  <c r="N25" i="101"/>
  <c r="N26" i="101"/>
  <c r="L25" i="101"/>
  <c r="K58" i="101"/>
  <c r="Q56" i="101"/>
  <c r="Q54" i="101"/>
  <c r="O52" i="101"/>
  <c r="N55" i="101"/>
  <c r="O58" i="101"/>
  <c r="M55" i="101"/>
  <c r="K52" i="101"/>
  <c r="L57" i="101"/>
  <c r="L53" i="101"/>
  <c r="P59" i="101"/>
  <c r="N57" i="101"/>
  <c r="N53" i="101"/>
  <c r="L52" i="101"/>
  <c r="M57" i="101"/>
  <c r="M53" i="101"/>
  <c r="N58" i="101"/>
  <c r="L55" i="101"/>
  <c r="J52" i="101"/>
  <c r="M58" i="101"/>
  <c r="K57" i="101"/>
  <c r="K55" i="101"/>
  <c r="K53" i="101"/>
  <c r="L58" i="101"/>
  <c r="J57" i="101"/>
  <c r="J55" i="101"/>
  <c r="J53" i="101"/>
  <c r="J58" i="101"/>
  <c r="P56" i="101"/>
  <c r="P54" i="101"/>
  <c r="N52" i="101"/>
  <c r="Q59" i="101"/>
  <c r="O57" i="101"/>
  <c r="O55" i="101"/>
  <c r="O53" i="101"/>
  <c r="M52" i="101"/>
  <c r="K14" i="92"/>
  <c r="K15" i="92"/>
  <c r="K16" i="92"/>
  <c r="K17" i="92"/>
  <c r="K18" i="92"/>
  <c r="K19" i="92"/>
  <c r="K20" i="92"/>
  <c r="K21" i="92"/>
  <c r="K13" i="92"/>
  <c r="F14" i="92"/>
  <c r="S14" i="92" s="1"/>
  <c r="F15" i="92"/>
  <c r="S15" i="92" s="1"/>
  <c r="F16" i="92"/>
  <c r="S16" i="92" s="1"/>
  <c r="F17" i="92"/>
  <c r="S17" i="92" s="1"/>
  <c r="F18" i="92"/>
  <c r="I18" i="92" s="1"/>
  <c r="T18" i="92" s="1"/>
  <c r="F19" i="92"/>
  <c r="I19" i="92" s="1"/>
  <c r="T19" i="92" s="1"/>
  <c r="F20" i="92"/>
  <c r="S20" i="92" s="1"/>
  <c r="F21" i="92"/>
  <c r="S21" i="92" s="1"/>
  <c r="F13" i="92"/>
  <c r="S13" i="92" s="1"/>
  <c r="M21" i="92" l="1"/>
  <c r="M20" i="92"/>
  <c r="S19" i="92"/>
  <c r="S18" i="92"/>
  <c r="I21" i="92"/>
  <c r="T21" i="92" s="1"/>
  <c r="F22" i="92"/>
  <c r="I20" i="92"/>
  <c r="T20" i="92" s="1"/>
  <c r="I17" i="92"/>
  <c r="T17" i="92" s="1"/>
  <c r="I16" i="92"/>
  <c r="T16" i="92" s="1"/>
  <c r="I15" i="92"/>
  <c r="T15" i="92" s="1"/>
  <c r="I14" i="92"/>
  <c r="T14" i="92" s="1"/>
  <c r="I13" i="92"/>
  <c r="P20" i="92" l="1"/>
  <c r="O20" i="92"/>
  <c r="P21" i="92"/>
  <c r="O21" i="92"/>
  <c r="J41" i="92"/>
  <c r="K41" i="92"/>
  <c r="S22" i="92"/>
  <c r="N21" i="92"/>
  <c r="Q21" i="92" s="1"/>
  <c r="R21" i="92" s="1"/>
  <c r="N20" i="92"/>
  <c r="Q20" i="92" s="1"/>
  <c r="R20" i="92" s="1"/>
  <c r="H41" i="92"/>
  <c r="I41" i="92"/>
  <c r="F28" i="92"/>
  <c r="G28" i="92" s="1"/>
  <c r="H28" i="92" s="1"/>
  <c r="I28" i="92" s="1"/>
  <c r="J28" i="92" s="1"/>
  <c r="K28" i="92" s="1"/>
  <c r="G41" i="92"/>
  <c r="I22" i="92"/>
  <c r="T13" i="92"/>
  <c r="T22" i="92" s="1"/>
  <c r="K33" i="92" s="1"/>
  <c r="E56" i="92" l="1"/>
  <c r="J30" i="92"/>
  <c r="I30" i="92"/>
  <c r="K30" i="92"/>
  <c r="K40" i="92" s="1"/>
  <c r="G30" i="92"/>
  <c r="H30" i="92"/>
  <c r="K32" i="92"/>
  <c r="J32" i="92"/>
  <c r="F32" i="92"/>
  <c r="I32" i="92"/>
  <c r="H32" i="92"/>
  <c r="G32" i="92"/>
  <c r="J33" i="92"/>
  <c r="H33" i="92"/>
  <c r="I33" i="92"/>
  <c r="G33" i="92"/>
  <c r="J40" i="92" l="1"/>
  <c r="G40" i="92"/>
  <c r="H40" i="92"/>
  <c r="I40" i="92"/>
  <c r="H53" i="7"/>
  <c r="E55" i="92" l="1"/>
  <c r="C24" i="2"/>
  <c r="C25" i="2"/>
  <c r="C26" i="2"/>
  <c r="C23" i="2"/>
  <c r="AT63" i="91"/>
  <c r="AT61" i="91"/>
  <c r="AT62" i="91"/>
  <c r="AT60" i="91"/>
  <c r="AH53" i="91"/>
  <c r="AH51" i="91"/>
  <c r="AH52" i="91"/>
  <c r="AH50" i="91"/>
  <c r="AD45" i="91"/>
  <c r="AC45" i="91"/>
  <c r="AC44" i="91"/>
  <c r="AB45" i="91"/>
  <c r="AB44" i="91"/>
  <c r="AB43" i="91"/>
  <c r="AA45" i="91"/>
  <c r="AA44" i="91"/>
  <c r="AA43" i="91"/>
  <c r="AA42" i="91"/>
  <c r="R25" i="91" l="1"/>
  <c r="Q25" i="91"/>
  <c r="Q24" i="91"/>
  <c r="P25" i="91"/>
  <c r="P24" i="91"/>
  <c r="P23" i="91"/>
  <c r="O25" i="91"/>
  <c r="O24" i="91"/>
  <c r="O23" i="91"/>
  <c r="O22" i="91"/>
  <c r="CA83" i="90" l="1"/>
  <c r="CA84" i="90"/>
  <c r="CA85" i="90"/>
  <c r="CA86" i="90"/>
  <c r="CA87" i="90"/>
  <c r="CA112" i="90" s="1"/>
  <c r="CA88" i="90"/>
  <c r="CA89" i="90"/>
  <c r="CA90" i="90"/>
  <c r="CA91" i="90"/>
  <c r="CA92" i="90"/>
  <c r="CA93" i="90"/>
  <c r="CA94" i="90"/>
  <c r="CA95" i="90"/>
  <c r="CA96" i="90"/>
  <c r="CA97" i="90"/>
  <c r="CA98" i="90"/>
  <c r="CA99" i="90"/>
  <c r="CA100" i="90"/>
  <c r="CA101" i="90"/>
  <c r="CA102" i="90"/>
  <c r="CA103" i="90"/>
  <c r="CA104" i="90"/>
  <c r="CA105" i="90"/>
  <c r="CA106" i="90"/>
  <c r="CA107" i="90"/>
  <c r="CA108" i="90"/>
  <c r="CA109" i="90"/>
  <c r="CA110" i="90"/>
  <c r="BD83" i="90"/>
  <c r="BE83" i="90"/>
  <c r="BF83" i="90"/>
  <c r="BG83" i="90"/>
  <c r="BH83" i="90"/>
  <c r="BI83" i="90"/>
  <c r="BJ83" i="90"/>
  <c r="BK83" i="90"/>
  <c r="BL83" i="90"/>
  <c r="BM83" i="90"/>
  <c r="BN83" i="90"/>
  <c r="BO83" i="90"/>
  <c r="BP83" i="90"/>
  <c r="BQ83" i="90"/>
  <c r="BR83" i="90"/>
  <c r="BS83" i="90"/>
  <c r="BT83" i="90"/>
  <c r="BU83" i="90"/>
  <c r="BV83" i="90"/>
  <c r="BW83" i="90"/>
  <c r="BX83" i="90"/>
  <c r="BY83" i="90"/>
  <c r="BZ83" i="90"/>
  <c r="BD84" i="90"/>
  <c r="BE84" i="90"/>
  <c r="BF84" i="90"/>
  <c r="BG84" i="90"/>
  <c r="BH84" i="90"/>
  <c r="BI84" i="90"/>
  <c r="BJ84" i="90"/>
  <c r="BK84" i="90"/>
  <c r="BL84" i="90"/>
  <c r="BM84" i="90"/>
  <c r="BN84" i="90"/>
  <c r="BO84" i="90"/>
  <c r="BP84" i="90"/>
  <c r="BQ84" i="90"/>
  <c r="BR84" i="90"/>
  <c r="BS84" i="90"/>
  <c r="BT84" i="90"/>
  <c r="BU84" i="90"/>
  <c r="BV84" i="90"/>
  <c r="BW84" i="90"/>
  <c r="BX84" i="90"/>
  <c r="BY84" i="90"/>
  <c r="BZ84" i="90"/>
  <c r="BD85" i="90"/>
  <c r="BE85" i="90"/>
  <c r="BF85" i="90"/>
  <c r="BG85" i="90"/>
  <c r="BH85" i="90"/>
  <c r="BI85" i="90"/>
  <c r="BJ85" i="90"/>
  <c r="BK85" i="90"/>
  <c r="BL85" i="90"/>
  <c r="BM85" i="90"/>
  <c r="BN85" i="90"/>
  <c r="BO85" i="90"/>
  <c r="BP85" i="90"/>
  <c r="BQ85" i="90"/>
  <c r="BR85" i="90"/>
  <c r="BS85" i="90"/>
  <c r="BT85" i="90"/>
  <c r="BU85" i="90"/>
  <c r="BV85" i="90"/>
  <c r="BW85" i="90"/>
  <c r="BX85" i="90"/>
  <c r="BY85" i="90"/>
  <c r="BZ85" i="90"/>
  <c r="BD86" i="90"/>
  <c r="BE86" i="90"/>
  <c r="BF86" i="90"/>
  <c r="BG86" i="90"/>
  <c r="BH86" i="90"/>
  <c r="BI86" i="90"/>
  <c r="BJ86" i="90"/>
  <c r="BK86" i="90"/>
  <c r="BL86" i="90"/>
  <c r="BM86" i="90"/>
  <c r="BN86" i="90"/>
  <c r="BO86" i="90"/>
  <c r="BP86" i="90"/>
  <c r="BQ86" i="90"/>
  <c r="BR86" i="90"/>
  <c r="BS86" i="90"/>
  <c r="BT86" i="90"/>
  <c r="BU86" i="90"/>
  <c r="BV86" i="90"/>
  <c r="BW86" i="90"/>
  <c r="BX86" i="90"/>
  <c r="BY86" i="90"/>
  <c r="BZ86" i="90"/>
  <c r="BD87" i="90"/>
  <c r="BE87" i="90"/>
  <c r="BF87" i="90"/>
  <c r="BG87" i="90"/>
  <c r="BH87" i="90"/>
  <c r="BI87" i="90"/>
  <c r="BJ87" i="90"/>
  <c r="BK87" i="90"/>
  <c r="BL87" i="90"/>
  <c r="BM87" i="90"/>
  <c r="BN87" i="90"/>
  <c r="BO87" i="90"/>
  <c r="BP87" i="90"/>
  <c r="BQ87" i="90"/>
  <c r="BR87" i="90"/>
  <c r="BS87" i="90"/>
  <c r="BT87" i="90"/>
  <c r="BU87" i="90"/>
  <c r="BV87" i="90"/>
  <c r="BW87" i="90"/>
  <c r="BX87" i="90"/>
  <c r="BY87" i="90"/>
  <c r="BZ87" i="90"/>
  <c r="BD88" i="90"/>
  <c r="BE88" i="90"/>
  <c r="BF88" i="90"/>
  <c r="BG88" i="90"/>
  <c r="BH88" i="90"/>
  <c r="BI88" i="90"/>
  <c r="BJ88" i="90"/>
  <c r="BK88" i="90"/>
  <c r="BL88" i="90"/>
  <c r="BM88" i="90"/>
  <c r="BN88" i="90"/>
  <c r="BO88" i="90"/>
  <c r="BP88" i="90"/>
  <c r="BQ88" i="90"/>
  <c r="BR88" i="90"/>
  <c r="BS88" i="90"/>
  <c r="BT88" i="90"/>
  <c r="BU88" i="90"/>
  <c r="BV88" i="90"/>
  <c r="BW88" i="90"/>
  <c r="BX88" i="90"/>
  <c r="BY88" i="90"/>
  <c r="BZ88" i="90"/>
  <c r="BD89" i="90"/>
  <c r="BE89" i="90"/>
  <c r="BF89" i="90"/>
  <c r="BG89" i="90"/>
  <c r="BH89" i="90"/>
  <c r="BI89" i="90"/>
  <c r="BJ89" i="90"/>
  <c r="BK89" i="90"/>
  <c r="BL89" i="90"/>
  <c r="BM89" i="90"/>
  <c r="BN89" i="90"/>
  <c r="BO89" i="90"/>
  <c r="BP89" i="90"/>
  <c r="BQ89" i="90"/>
  <c r="BR89" i="90"/>
  <c r="BS89" i="90"/>
  <c r="BT89" i="90"/>
  <c r="BU89" i="90"/>
  <c r="BV89" i="90"/>
  <c r="BW89" i="90"/>
  <c r="BX89" i="90"/>
  <c r="BY89" i="90"/>
  <c r="BZ89" i="90"/>
  <c r="BD90" i="90"/>
  <c r="BE90" i="90"/>
  <c r="BF90" i="90"/>
  <c r="BG90" i="90"/>
  <c r="BH90" i="90"/>
  <c r="BI90" i="90"/>
  <c r="BJ90" i="90"/>
  <c r="BK90" i="90"/>
  <c r="BL90" i="90"/>
  <c r="BM90" i="90"/>
  <c r="BN90" i="90"/>
  <c r="BO90" i="90"/>
  <c r="BP90" i="90"/>
  <c r="BQ90" i="90"/>
  <c r="BR90" i="90"/>
  <c r="BS90" i="90"/>
  <c r="BT90" i="90"/>
  <c r="BU90" i="90"/>
  <c r="BV90" i="90"/>
  <c r="BW90" i="90"/>
  <c r="BX90" i="90"/>
  <c r="BY90" i="90"/>
  <c r="BZ90" i="90"/>
  <c r="BD91" i="90"/>
  <c r="BE91" i="90"/>
  <c r="BF91" i="90"/>
  <c r="BG91" i="90"/>
  <c r="BH91" i="90"/>
  <c r="BI91" i="90"/>
  <c r="BJ91" i="90"/>
  <c r="BK91" i="90"/>
  <c r="BL91" i="90"/>
  <c r="BM91" i="90"/>
  <c r="BN91" i="90"/>
  <c r="BO91" i="90"/>
  <c r="BP91" i="90"/>
  <c r="BQ91" i="90"/>
  <c r="BR91" i="90"/>
  <c r="BS91" i="90"/>
  <c r="BT91" i="90"/>
  <c r="BU91" i="90"/>
  <c r="BV91" i="90"/>
  <c r="BW91" i="90"/>
  <c r="BX91" i="90"/>
  <c r="BY91" i="90"/>
  <c r="BZ91" i="90"/>
  <c r="BD92" i="90"/>
  <c r="BE92" i="90"/>
  <c r="BF92" i="90"/>
  <c r="BG92" i="90"/>
  <c r="BH92" i="90"/>
  <c r="BI92" i="90"/>
  <c r="BJ92" i="90"/>
  <c r="BK92" i="90"/>
  <c r="BL92" i="90"/>
  <c r="BM92" i="90"/>
  <c r="BN92" i="90"/>
  <c r="BO92" i="90"/>
  <c r="BP92" i="90"/>
  <c r="BQ92" i="90"/>
  <c r="BR92" i="90"/>
  <c r="BS92" i="90"/>
  <c r="BT92" i="90"/>
  <c r="BU92" i="90"/>
  <c r="BV92" i="90"/>
  <c r="BW92" i="90"/>
  <c r="BX92" i="90"/>
  <c r="BY92" i="90"/>
  <c r="BZ92" i="90"/>
  <c r="BD93" i="90"/>
  <c r="BE93" i="90"/>
  <c r="BF93" i="90"/>
  <c r="BG93" i="90"/>
  <c r="BH93" i="90"/>
  <c r="BI93" i="90"/>
  <c r="BJ93" i="90"/>
  <c r="BK93" i="90"/>
  <c r="BL93" i="90"/>
  <c r="BM93" i="90"/>
  <c r="BN93" i="90"/>
  <c r="BO93" i="90"/>
  <c r="BP93" i="90"/>
  <c r="BQ93" i="90"/>
  <c r="BR93" i="90"/>
  <c r="BS93" i="90"/>
  <c r="BT93" i="90"/>
  <c r="BU93" i="90"/>
  <c r="BV93" i="90"/>
  <c r="BW93" i="90"/>
  <c r="BX93" i="90"/>
  <c r="BY93" i="90"/>
  <c r="BZ93" i="90"/>
  <c r="BD94" i="90"/>
  <c r="BE94" i="90"/>
  <c r="BF94" i="90"/>
  <c r="BG94" i="90"/>
  <c r="BH94" i="90"/>
  <c r="BI94" i="90"/>
  <c r="BJ94" i="90"/>
  <c r="BK94" i="90"/>
  <c r="BL94" i="90"/>
  <c r="BM94" i="90"/>
  <c r="BN94" i="90"/>
  <c r="BO94" i="90"/>
  <c r="BP94" i="90"/>
  <c r="BQ94" i="90"/>
  <c r="BR94" i="90"/>
  <c r="BS94" i="90"/>
  <c r="BT94" i="90"/>
  <c r="BU94" i="90"/>
  <c r="BV94" i="90"/>
  <c r="BW94" i="90"/>
  <c r="BX94" i="90"/>
  <c r="BY94" i="90"/>
  <c r="BZ94" i="90"/>
  <c r="BD95" i="90"/>
  <c r="BE95" i="90"/>
  <c r="BF95" i="90"/>
  <c r="BG95" i="90"/>
  <c r="BH95" i="90"/>
  <c r="BI95" i="90"/>
  <c r="BJ95" i="90"/>
  <c r="BK95" i="90"/>
  <c r="BL95" i="90"/>
  <c r="BM95" i="90"/>
  <c r="BN95" i="90"/>
  <c r="BO95" i="90"/>
  <c r="BP95" i="90"/>
  <c r="BQ95" i="90"/>
  <c r="BR95" i="90"/>
  <c r="BS95" i="90"/>
  <c r="BT95" i="90"/>
  <c r="BU95" i="90"/>
  <c r="BV95" i="90"/>
  <c r="BW95" i="90"/>
  <c r="BX95" i="90"/>
  <c r="BY95" i="90"/>
  <c r="BZ95" i="90"/>
  <c r="BD96" i="90"/>
  <c r="BE96" i="90"/>
  <c r="BF96" i="90"/>
  <c r="BG96" i="90"/>
  <c r="BH96" i="90"/>
  <c r="BI96" i="90"/>
  <c r="BJ96" i="90"/>
  <c r="BK96" i="90"/>
  <c r="BL96" i="90"/>
  <c r="BM96" i="90"/>
  <c r="BN96" i="90"/>
  <c r="BO96" i="90"/>
  <c r="BP96" i="90"/>
  <c r="BQ96" i="90"/>
  <c r="BR96" i="90"/>
  <c r="BS96" i="90"/>
  <c r="BT96" i="90"/>
  <c r="BU96" i="90"/>
  <c r="BV96" i="90"/>
  <c r="BW96" i="90"/>
  <c r="BX96" i="90"/>
  <c r="BY96" i="90"/>
  <c r="BZ96" i="90"/>
  <c r="BD97" i="90"/>
  <c r="BE97" i="90"/>
  <c r="BF97" i="90"/>
  <c r="BG97" i="90"/>
  <c r="BH97" i="90"/>
  <c r="BI97" i="90"/>
  <c r="BJ97" i="90"/>
  <c r="BK97" i="90"/>
  <c r="BL97" i="90"/>
  <c r="BM97" i="90"/>
  <c r="BN97" i="90"/>
  <c r="BO97" i="90"/>
  <c r="BP97" i="90"/>
  <c r="BQ97" i="90"/>
  <c r="BR97" i="90"/>
  <c r="BS97" i="90"/>
  <c r="BT97" i="90"/>
  <c r="BU97" i="90"/>
  <c r="BV97" i="90"/>
  <c r="BW97" i="90"/>
  <c r="BX97" i="90"/>
  <c r="BY97" i="90"/>
  <c r="BZ97" i="90"/>
  <c r="BD98" i="90"/>
  <c r="BE98" i="90"/>
  <c r="BF98" i="90"/>
  <c r="BG98" i="90"/>
  <c r="BH98" i="90"/>
  <c r="BI98" i="90"/>
  <c r="BJ98" i="90"/>
  <c r="BK98" i="90"/>
  <c r="BL98" i="90"/>
  <c r="BM98" i="90"/>
  <c r="BN98" i="90"/>
  <c r="BO98" i="90"/>
  <c r="BP98" i="90"/>
  <c r="BQ98" i="90"/>
  <c r="BR98" i="90"/>
  <c r="BS98" i="90"/>
  <c r="BT98" i="90"/>
  <c r="BU98" i="90"/>
  <c r="BV98" i="90"/>
  <c r="BW98" i="90"/>
  <c r="BX98" i="90"/>
  <c r="BY98" i="90"/>
  <c r="BZ98" i="90"/>
  <c r="BD99" i="90"/>
  <c r="BE99" i="90"/>
  <c r="BF99" i="90"/>
  <c r="BG99" i="90"/>
  <c r="BH99" i="90"/>
  <c r="BI99" i="90"/>
  <c r="BJ99" i="90"/>
  <c r="BK99" i="90"/>
  <c r="BL99" i="90"/>
  <c r="BM99" i="90"/>
  <c r="BN99" i="90"/>
  <c r="BO99" i="90"/>
  <c r="BP99" i="90"/>
  <c r="BQ99" i="90"/>
  <c r="BR99" i="90"/>
  <c r="BS99" i="90"/>
  <c r="BT99" i="90"/>
  <c r="BU99" i="90"/>
  <c r="BV99" i="90"/>
  <c r="BW99" i="90"/>
  <c r="BX99" i="90"/>
  <c r="BY99" i="90"/>
  <c r="BZ99" i="90"/>
  <c r="BD100" i="90"/>
  <c r="BE100" i="90"/>
  <c r="BF100" i="90"/>
  <c r="BG100" i="90"/>
  <c r="BH100" i="90"/>
  <c r="BI100" i="90"/>
  <c r="BJ100" i="90"/>
  <c r="BK100" i="90"/>
  <c r="BL100" i="90"/>
  <c r="BM100" i="90"/>
  <c r="BN100" i="90"/>
  <c r="BO100" i="90"/>
  <c r="BP100" i="90"/>
  <c r="BQ100" i="90"/>
  <c r="BR100" i="90"/>
  <c r="BS100" i="90"/>
  <c r="BT100" i="90"/>
  <c r="BU100" i="90"/>
  <c r="BV100" i="90"/>
  <c r="BW100" i="90"/>
  <c r="BX100" i="90"/>
  <c r="BY100" i="90"/>
  <c r="BZ100" i="90"/>
  <c r="BD101" i="90"/>
  <c r="BE101" i="90"/>
  <c r="BF101" i="90"/>
  <c r="BG101" i="90"/>
  <c r="BH101" i="90"/>
  <c r="BI101" i="90"/>
  <c r="BJ101" i="90"/>
  <c r="BK101" i="90"/>
  <c r="BL101" i="90"/>
  <c r="BM101" i="90"/>
  <c r="BN101" i="90"/>
  <c r="BO101" i="90"/>
  <c r="BP101" i="90"/>
  <c r="BQ101" i="90"/>
  <c r="BR101" i="90"/>
  <c r="BS101" i="90"/>
  <c r="BT101" i="90"/>
  <c r="BU101" i="90"/>
  <c r="BV101" i="90"/>
  <c r="BW101" i="90"/>
  <c r="BX101" i="90"/>
  <c r="BY101" i="90"/>
  <c r="BZ101" i="90"/>
  <c r="BD102" i="90"/>
  <c r="BE102" i="90"/>
  <c r="BF102" i="90"/>
  <c r="BG102" i="90"/>
  <c r="BH102" i="90"/>
  <c r="BI102" i="90"/>
  <c r="BJ102" i="90"/>
  <c r="BK102" i="90"/>
  <c r="BL102" i="90"/>
  <c r="BM102" i="90"/>
  <c r="BN102" i="90"/>
  <c r="BO102" i="90"/>
  <c r="BP102" i="90"/>
  <c r="BQ102" i="90"/>
  <c r="BR102" i="90"/>
  <c r="BS102" i="90"/>
  <c r="BT102" i="90"/>
  <c r="BU102" i="90"/>
  <c r="BV102" i="90"/>
  <c r="BW102" i="90"/>
  <c r="BX102" i="90"/>
  <c r="BY102" i="90"/>
  <c r="BZ102" i="90"/>
  <c r="BD103" i="90"/>
  <c r="BE103" i="90"/>
  <c r="BF103" i="90"/>
  <c r="BG103" i="90"/>
  <c r="BH103" i="90"/>
  <c r="BI103" i="90"/>
  <c r="BJ103" i="90"/>
  <c r="BK103" i="90"/>
  <c r="BL103" i="90"/>
  <c r="BM103" i="90"/>
  <c r="BN103" i="90"/>
  <c r="BO103" i="90"/>
  <c r="BP103" i="90"/>
  <c r="BQ103" i="90"/>
  <c r="BR103" i="90"/>
  <c r="BS103" i="90"/>
  <c r="BT103" i="90"/>
  <c r="BU103" i="90"/>
  <c r="BV103" i="90"/>
  <c r="BW103" i="90"/>
  <c r="BX103" i="90"/>
  <c r="BY103" i="90"/>
  <c r="BZ103" i="90"/>
  <c r="BD104" i="90"/>
  <c r="BE104" i="90"/>
  <c r="BF104" i="90"/>
  <c r="BG104" i="90"/>
  <c r="BH104" i="90"/>
  <c r="BI104" i="90"/>
  <c r="BJ104" i="90"/>
  <c r="BK104" i="90"/>
  <c r="BL104" i="90"/>
  <c r="BM104" i="90"/>
  <c r="BN104" i="90"/>
  <c r="BO104" i="90"/>
  <c r="BP104" i="90"/>
  <c r="BQ104" i="90"/>
  <c r="BR104" i="90"/>
  <c r="BS104" i="90"/>
  <c r="BT104" i="90"/>
  <c r="BU104" i="90"/>
  <c r="BV104" i="90"/>
  <c r="BW104" i="90"/>
  <c r="BX104" i="90"/>
  <c r="BY104" i="90"/>
  <c r="BZ104" i="90"/>
  <c r="BD105" i="90"/>
  <c r="BE105" i="90"/>
  <c r="BF105" i="90"/>
  <c r="BG105" i="90"/>
  <c r="BH105" i="90"/>
  <c r="BI105" i="90"/>
  <c r="BJ105" i="90"/>
  <c r="BK105" i="90"/>
  <c r="BL105" i="90"/>
  <c r="BM105" i="90"/>
  <c r="BN105" i="90"/>
  <c r="BO105" i="90"/>
  <c r="BP105" i="90"/>
  <c r="BQ105" i="90"/>
  <c r="BR105" i="90"/>
  <c r="BS105" i="90"/>
  <c r="BT105" i="90"/>
  <c r="BU105" i="90"/>
  <c r="BV105" i="90"/>
  <c r="BW105" i="90"/>
  <c r="BX105" i="90"/>
  <c r="BY105" i="90"/>
  <c r="BZ105" i="90"/>
  <c r="BD106" i="90"/>
  <c r="BE106" i="90"/>
  <c r="BF106" i="90"/>
  <c r="BG106" i="90"/>
  <c r="BH106" i="90"/>
  <c r="BI106" i="90"/>
  <c r="BJ106" i="90"/>
  <c r="BK106" i="90"/>
  <c r="BL106" i="90"/>
  <c r="BM106" i="90"/>
  <c r="BN106" i="90"/>
  <c r="BO106" i="90"/>
  <c r="BP106" i="90"/>
  <c r="BQ106" i="90"/>
  <c r="BR106" i="90"/>
  <c r="BS106" i="90"/>
  <c r="BT106" i="90"/>
  <c r="BU106" i="90"/>
  <c r="BV106" i="90"/>
  <c r="BW106" i="90"/>
  <c r="BX106" i="90"/>
  <c r="BY106" i="90"/>
  <c r="BZ106" i="90"/>
  <c r="BD107" i="90"/>
  <c r="BE107" i="90"/>
  <c r="BF107" i="90"/>
  <c r="BG107" i="90"/>
  <c r="BH107" i="90"/>
  <c r="BI107" i="90"/>
  <c r="BJ107" i="90"/>
  <c r="BK107" i="90"/>
  <c r="BL107" i="90"/>
  <c r="BM107" i="90"/>
  <c r="BN107" i="90"/>
  <c r="BO107" i="90"/>
  <c r="BP107" i="90"/>
  <c r="BQ107" i="90"/>
  <c r="BR107" i="90"/>
  <c r="BS107" i="90"/>
  <c r="BT107" i="90"/>
  <c r="BU107" i="90"/>
  <c r="BV107" i="90"/>
  <c r="BW107" i="90"/>
  <c r="BX107" i="90"/>
  <c r="BY107" i="90"/>
  <c r="BZ107" i="90"/>
  <c r="BD108" i="90"/>
  <c r="BE108" i="90"/>
  <c r="BF108" i="90"/>
  <c r="BG108" i="90"/>
  <c r="BH108" i="90"/>
  <c r="BI108" i="90"/>
  <c r="BJ108" i="90"/>
  <c r="BK108" i="90"/>
  <c r="BL108" i="90"/>
  <c r="BM108" i="90"/>
  <c r="BN108" i="90"/>
  <c r="BO108" i="90"/>
  <c r="BP108" i="90"/>
  <c r="BQ108" i="90"/>
  <c r="BR108" i="90"/>
  <c r="BS108" i="90"/>
  <c r="BT108" i="90"/>
  <c r="BU108" i="90"/>
  <c r="BV108" i="90"/>
  <c r="BW108" i="90"/>
  <c r="BX108" i="90"/>
  <c r="BY108" i="90"/>
  <c r="BZ108" i="90"/>
  <c r="BD109" i="90"/>
  <c r="BE109" i="90"/>
  <c r="BF109" i="90"/>
  <c r="BG109" i="90"/>
  <c r="BH109" i="90"/>
  <c r="BI109" i="90"/>
  <c r="BJ109" i="90"/>
  <c r="BK109" i="90"/>
  <c r="BL109" i="90"/>
  <c r="BM109" i="90"/>
  <c r="BN109" i="90"/>
  <c r="BO109" i="90"/>
  <c r="BP109" i="90"/>
  <c r="BQ109" i="90"/>
  <c r="BR109" i="90"/>
  <c r="BS109" i="90"/>
  <c r="BT109" i="90"/>
  <c r="BU109" i="90"/>
  <c r="BV109" i="90"/>
  <c r="BW109" i="90"/>
  <c r="BX109" i="90"/>
  <c r="BY109" i="90"/>
  <c r="BZ109" i="90"/>
  <c r="BD110" i="90"/>
  <c r="BE110" i="90"/>
  <c r="BF110" i="90"/>
  <c r="BG110" i="90"/>
  <c r="BH110" i="90"/>
  <c r="BI110" i="90"/>
  <c r="BJ110" i="90"/>
  <c r="BK110" i="90"/>
  <c r="BL110" i="90"/>
  <c r="BM110" i="90"/>
  <c r="BN110" i="90"/>
  <c r="BO110" i="90"/>
  <c r="BP110" i="90"/>
  <c r="BQ110" i="90"/>
  <c r="BR110" i="90"/>
  <c r="BS110" i="90"/>
  <c r="BT110" i="90"/>
  <c r="BU110" i="90"/>
  <c r="BV110" i="90"/>
  <c r="BW110" i="90"/>
  <c r="BX110" i="90"/>
  <c r="BY110" i="90"/>
  <c r="BZ110" i="90"/>
  <c r="BC83" i="90"/>
  <c r="BA83" i="90"/>
  <c r="BB83" i="90"/>
  <c r="BA84" i="90"/>
  <c r="BB84" i="90"/>
  <c r="BA85" i="90"/>
  <c r="BB85" i="90"/>
  <c r="BA86" i="90"/>
  <c r="BB86" i="90"/>
  <c r="BA87" i="90"/>
  <c r="BB87" i="90"/>
  <c r="BA88" i="90"/>
  <c r="BB88" i="90"/>
  <c r="BA89" i="90"/>
  <c r="BB89" i="90"/>
  <c r="BA90" i="90"/>
  <c r="BB90" i="90"/>
  <c r="BA91" i="90"/>
  <c r="BB91" i="90"/>
  <c r="BA92" i="90"/>
  <c r="BB92" i="90"/>
  <c r="BA93" i="90"/>
  <c r="BB93" i="90"/>
  <c r="BA94" i="90"/>
  <c r="BB94" i="90"/>
  <c r="BA95" i="90"/>
  <c r="BB95" i="90"/>
  <c r="BA96" i="90"/>
  <c r="BB96" i="90"/>
  <c r="BA97" i="90"/>
  <c r="BB97" i="90"/>
  <c r="BA98" i="90"/>
  <c r="BB98" i="90"/>
  <c r="BA99" i="90"/>
  <c r="BB99" i="90"/>
  <c r="BA100" i="90"/>
  <c r="BB100" i="90"/>
  <c r="BA101" i="90"/>
  <c r="BB101" i="90"/>
  <c r="BA102" i="90"/>
  <c r="BB102" i="90"/>
  <c r="BA103" i="90"/>
  <c r="BB103" i="90"/>
  <c r="BA104" i="90"/>
  <c r="BB104" i="90"/>
  <c r="BA105" i="90"/>
  <c r="BB105" i="90"/>
  <c r="BA106" i="90"/>
  <c r="BB106" i="90"/>
  <c r="BA107" i="90"/>
  <c r="BB107" i="90"/>
  <c r="BA108" i="90"/>
  <c r="BB108" i="90"/>
  <c r="BA109" i="90"/>
  <c r="BB109" i="90"/>
  <c r="BA110" i="90"/>
  <c r="BB110" i="90"/>
  <c r="BC109" i="90"/>
  <c r="BC110" i="90"/>
  <c r="BC108" i="90"/>
  <c r="BC88" i="90"/>
  <c r="BC89" i="90"/>
  <c r="BC90" i="90"/>
  <c r="BC91" i="90"/>
  <c r="BC92" i="90"/>
  <c r="BC93" i="90"/>
  <c r="BC94" i="90"/>
  <c r="BC95" i="90"/>
  <c r="BC96" i="90"/>
  <c r="BC97" i="90"/>
  <c r="BC98" i="90"/>
  <c r="BC99" i="90"/>
  <c r="BC100" i="90"/>
  <c r="BC101" i="90"/>
  <c r="BC102" i="90"/>
  <c r="BC103" i="90"/>
  <c r="BC104" i="90"/>
  <c r="BC105" i="90"/>
  <c r="BC106" i="90"/>
  <c r="BC107" i="90"/>
  <c r="BC87" i="90"/>
  <c r="BC85" i="90"/>
  <c r="BC86" i="90"/>
  <c r="BC84" i="90"/>
  <c r="AE83" i="90"/>
  <c r="AF83" i="90"/>
  <c r="AG83" i="90"/>
  <c r="AH83" i="90"/>
  <c r="AI83" i="90"/>
  <c r="AJ83" i="90"/>
  <c r="AK83" i="90"/>
  <c r="AL83" i="90"/>
  <c r="AM83" i="90"/>
  <c r="AN83" i="90"/>
  <c r="AO83" i="90"/>
  <c r="AP83" i="90"/>
  <c r="AQ83" i="90"/>
  <c r="AR83" i="90"/>
  <c r="AS83" i="90"/>
  <c r="AT83" i="90"/>
  <c r="AU83" i="90"/>
  <c r="AV83" i="90"/>
  <c r="AW83" i="90"/>
  <c r="AX83" i="90"/>
  <c r="AY83" i="90"/>
  <c r="AZ83" i="90"/>
  <c r="AE84" i="90"/>
  <c r="AF84" i="90"/>
  <c r="AG84" i="90"/>
  <c r="AH84" i="90"/>
  <c r="AI84" i="90"/>
  <c r="AJ84" i="90"/>
  <c r="AK84" i="90"/>
  <c r="AL84" i="90"/>
  <c r="AM84" i="90"/>
  <c r="AN84" i="90"/>
  <c r="AO84" i="90"/>
  <c r="AP84" i="90"/>
  <c r="AQ84" i="90"/>
  <c r="AR84" i="90"/>
  <c r="AS84" i="90"/>
  <c r="AT84" i="90"/>
  <c r="AU84" i="90"/>
  <c r="AV84" i="90"/>
  <c r="AW84" i="90"/>
  <c r="AX84" i="90"/>
  <c r="AY84" i="90"/>
  <c r="AZ84" i="90"/>
  <c r="AE85" i="90"/>
  <c r="AF85" i="90"/>
  <c r="AG85" i="90"/>
  <c r="AH85" i="90"/>
  <c r="AI85" i="90"/>
  <c r="AJ85" i="90"/>
  <c r="AK85" i="90"/>
  <c r="AL85" i="90"/>
  <c r="AM85" i="90"/>
  <c r="AN85" i="90"/>
  <c r="AO85" i="90"/>
  <c r="AP85" i="90"/>
  <c r="AQ85" i="90"/>
  <c r="AR85" i="90"/>
  <c r="AS85" i="90"/>
  <c r="AT85" i="90"/>
  <c r="AU85" i="90"/>
  <c r="AV85" i="90"/>
  <c r="AW85" i="90"/>
  <c r="AX85" i="90"/>
  <c r="AY85" i="90"/>
  <c r="AZ85" i="90"/>
  <c r="AE86" i="90"/>
  <c r="AF86" i="90"/>
  <c r="AG86" i="90"/>
  <c r="AH86" i="90"/>
  <c r="AI86" i="90"/>
  <c r="AJ86" i="90"/>
  <c r="AK86" i="90"/>
  <c r="AL86" i="90"/>
  <c r="AM86" i="90"/>
  <c r="AN86" i="90"/>
  <c r="AO86" i="90"/>
  <c r="AP86" i="90"/>
  <c r="AQ86" i="90"/>
  <c r="AR86" i="90"/>
  <c r="AS86" i="90"/>
  <c r="AT86" i="90"/>
  <c r="AU86" i="90"/>
  <c r="AV86" i="90"/>
  <c r="AW86" i="90"/>
  <c r="AX86" i="90"/>
  <c r="AY86" i="90"/>
  <c r="AZ86" i="90"/>
  <c r="AE87" i="90"/>
  <c r="AF87" i="90"/>
  <c r="AG87" i="90"/>
  <c r="AH87" i="90"/>
  <c r="AI87" i="90"/>
  <c r="AJ87" i="90"/>
  <c r="AK87" i="90"/>
  <c r="AL87" i="90"/>
  <c r="AM87" i="90"/>
  <c r="AN87" i="90"/>
  <c r="AO87" i="90"/>
  <c r="AP87" i="90"/>
  <c r="AQ87" i="90"/>
  <c r="AR87" i="90"/>
  <c r="AS87" i="90"/>
  <c r="AT87" i="90"/>
  <c r="AU87" i="90"/>
  <c r="AV87" i="90"/>
  <c r="AW87" i="90"/>
  <c r="AX87" i="90"/>
  <c r="AY87" i="90"/>
  <c r="AZ87" i="90"/>
  <c r="AE88" i="90"/>
  <c r="AF88" i="90"/>
  <c r="AG88" i="90"/>
  <c r="AH88" i="90"/>
  <c r="AI88" i="90"/>
  <c r="AJ88" i="90"/>
  <c r="AK88" i="90"/>
  <c r="AL88" i="90"/>
  <c r="AM88" i="90"/>
  <c r="AN88" i="90"/>
  <c r="AO88" i="90"/>
  <c r="AP88" i="90"/>
  <c r="AQ88" i="90"/>
  <c r="AR88" i="90"/>
  <c r="AS88" i="90"/>
  <c r="AT88" i="90"/>
  <c r="AU88" i="90"/>
  <c r="AV88" i="90"/>
  <c r="AW88" i="90"/>
  <c r="AX88" i="90"/>
  <c r="AY88" i="90"/>
  <c r="AZ88" i="90"/>
  <c r="AE89" i="90"/>
  <c r="AF89" i="90"/>
  <c r="AG89" i="90"/>
  <c r="AH89" i="90"/>
  <c r="AI89" i="90"/>
  <c r="AJ89" i="90"/>
  <c r="AK89" i="90"/>
  <c r="AL89" i="90"/>
  <c r="AM89" i="90"/>
  <c r="AN89" i="90"/>
  <c r="AO89" i="90"/>
  <c r="AP89" i="90"/>
  <c r="AQ89" i="90"/>
  <c r="AR89" i="90"/>
  <c r="AS89" i="90"/>
  <c r="AT89" i="90"/>
  <c r="AU89" i="90"/>
  <c r="AV89" i="90"/>
  <c r="AW89" i="90"/>
  <c r="AX89" i="90"/>
  <c r="AY89" i="90"/>
  <c r="AZ89" i="90"/>
  <c r="AE90" i="90"/>
  <c r="AF90" i="90"/>
  <c r="AG90" i="90"/>
  <c r="AH90" i="90"/>
  <c r="AI90" i="90"/>
  <c r="AJ90" i="90"/>
  <c r="AK90" i="90"/>
  <c r="AL90" i="90"/>
  <c r="AM90" i="90"/>
  <c r="AN90" i="90"/>
  <c r="AO90" i="90"/>
  <c r="AP90" i="90"/>
  <c r="AQ90" i="90"/>
  <c r="AR90" i="90"/>
  <c r="AS90" i="90"/>
  <c r="AT90" i="90"/>
  <c r="AU90" i="90"/>
  <c r="AV90" i="90"/>
  <c r="AW90" i="90"/>
  <c r="AX90" i="90"/>
  <c r="AY90" i="90"/>
  <c r="AZ90" i="90"/>
  <c r="AE91" i="90"/>
  <c r="AF91" i="90"/>
  <c r="AG91" i="90"/>
  <c r="AH91" i="90"/>
  <c r="AI91" i="90"/>
  <c r="AJ91" i="90"/>
  <c r="AK91" i="90"/>
  <c r="AL91" i="90"/>
  <c r="AM91" i="90"/>
  <c r="AN91" i="90"/>
  <c r="AO91" i="90"/>
  <c r="AP91" i="90"/>
  <c r="AQ91" i="90"/>
  <c r="AR91" i="90"/>
  <c r="AS91" i="90"/>
  <c r="AT91" i="90"/>
  <c r="AU91" i="90"/>
  <c r="AV91" i="90"/>
  <c r="AW91" i="90"/>
  <c r="AX91" i="90"/>
  <c r="AY91" i="90"/>
  <c r="AZ91" i="90"/>
  <c r="AE92" i="90"/>
  <c r="AF92" i="90"/>
  <c r="AG92" i="90"/>
  <c r="AH92" i="90"/>
  <c r="AI92" i="90"/>
  <c r="AJ92" i="90"/>
  <c r="AK92" i="90"/>
  <c r="AL92" i="90"/>
  <c r="AM92" i="90"/>
  <c r="AN92" i="90"/>
  <c r="AO92" i="90"/>
  <c r="AP92" i="90"/>
  <c r="AQ92" i="90"/>
  <c r="AR92" i="90"/>
  <c r="AS92" i="90"/>
  <c r="AT92" i="90"/>
  <c r="AU92" i="90"/>
  <c r="AV92" i="90"/>
  <c r="AW92" i="90"/>
  <c r="AX92" i="90"/>
  <c r="AY92" i="90"/>
  <c r="AZ92" i="90"/>
  <c r="AE93" i="90"/>
  <c r="AF93" i="90"/>
  <c r="AG93" i="90"/>
  <c r="AH93" i="90"/>
  <c r="AI93" i="90"/>
  <c r="AJ93" i="90"/>
  <c r="AK93" i="90"/>
  <c r="AL93" i="90"/>
  <c r="AM93" i="90"/>
  <c r="AN93" i="90"/>
  <c r="AO93" i="90"/>
  <c r="AP93" i="90"/>
  <c r="AQ93" i="90"/>
  <c r="AR93" i="90"/>
  <c r="AS93" i="90"/>
  <c r="AT93" i="90"/>
  <c r="AU93" i="90"/>
  <c r="AV93" i="90"/>
  <c r="AW93" i="90"/>
  <c r="AX93" i="90"/>
  <c r="AY93" i="90"/>
  <c r="AZ93" i="90"/>
  <c r="AE94" i="90"/>
  <c r="AF94" i="90"/>
  <c r="AG94" i="90"/>
  <c r="AH94" i="90"/>
  <c r="AI94" i="90"/>
  <c r="AJ94" i="90"/>
  <c r="AK94" i="90"/>
  <c r="AL94" i="90"/>
  <c r="AM94" i="90"/>
  <c r="AN94" i="90"/>
  <c r="AO94" i="90"/>
  <c r="AP94" i="90"/>
  <c r="AQ94" i="90"/>
  <c r="AR94" i="90"/>
  <c r="AS94" i="90"/>
  <c r="AT94" i="90"/>
  <c r="AU94" i="90"/>
  <c r="AV94" i="90"/>
  <c r="AW94" i="90"/>
  <c r="AX94" i="90"/>
  <c r="AY94" i="90"/>
  <c r="AZ94" i="90"/>
  <c r="AE95" i="90"/>
  <c r="AF95" i="90"/>
  <c r="AG95" i="90"/>
  <c r="AH95" i="90"/>
  <c r="AI95" i="90"/>
  <c r="AJ95" i="90"/>
  <c r="AK95" i="90"/>
  <c r="AL95" i="90"/>
  <c r="AM95" i="90"/>
  <c r="AN95" i="90"/>
  <c r="AO95" i="90"/>
  <c r="AP95" i="90"/>
  <c r="AQ95" i="90"/>
  <c r="AR95" i="90"/>
  <c r="AS95" i="90"/>
  <c r="AT95" i="90"/>
  <c r="AU95" i="90"/>
  <c r="AV95" i="90"/>
  <c r="AW95" i="90"/>
  <c r="AX95" i="90"/>
  <c r="AY95" i="90"/>
  <c r="AZ95" i="90"/>
  <c r="AE96" i="90"/>
  <c r="AF96" i="90"/>
  <c r="AG96" i="90"/>
  <c r="AH96" i="90"/>
  <c r="AI96" i="90"/>
  <c r="AJ96" i="90"/>
  <c r="AK96" i="90"/>
  <c r="AL96" i="90"/>
  <c r="AM96" i="90"/>
  <c r="AN96" i="90"/>
  <c r="AO96" i="90"/>
  <c r="AP96" i="90"/>
  <c r="AQ96" i="90"/>
  <c r="AR96" i="90"/>
  <c r="AS96" i="90"/>
  <c r="AT96" i="90"/>
  <c r="AU96" i="90"/>
  <c r="AV96" i="90"/>
  <c r="AW96" i="90"/>
  <c r="AX96" i="90"/>
  <c r="AY96" i="90"/>
  <c r="AZ96" i="90"/>
  <c r="AE97" i="90"/>
  <c r="AF97" i="90"/>
  <c r="AG97" i="90"/>
  <c r="AH97" i="90"/>
  <c r="AI97" i="90"/>
  <c r="AJ97" i="90"/>
  <c r="AK97" i="90"/>
  <c r="AL97" i="90"/>
  <c r="AM97" i="90"/>
  <c r="AN97" i="90"/>
  <c r="AO97" i="90"/>
  <c r="AP97" i="90"/>
  <c r="AQ97" i="90"/>
  <c r="AR97" i="90"/>
  <c r="AS97" i="90"/>
  <c r="AT97" i="90"/>
  <c r="AU97" i="90"/>
  <c r="AV97" i="90"/>
  <c r="AW97" i="90"/>
  <c r="AX97" i="90"/>
  <c r="AY97" i="90"/>
  <c r="AZ97" i="90"/>
  <c r="AE98" i="90"/>
  <c r="AF98" i="90"/>
  <c r="AG98" i="90"/>
  <c r="AH98" i="90"/>
  <c r="AI98" i="90"/>
  <c r="AJ98" i="90"/>
  <c r="AK98" i="90"/>
  <c r="AL98" i="90"/>
  <c r="AM98" i="90"/>
  <c r="AN98" i="90"/>
  <c r="AO98" i="90"/>
  <c r="AP98" i="90"/>
  <c r="AQ98" i="90"/>
  <c r="AR98" i="90"/>
  <c r="AS98" i="90"/>
  <c r="AT98" i="90"/>
  <c r="AU98" i="90"/>
  <c r="AV98" i="90"/>
  <c r="AW98" i="90"/>
  <c r="AX98" i="90"/>
  <c r="AY98" i="90"/>
  <c r="AZ98" i="90"/>
  <c r="AE99" i="90"/>
  <c r="AF99" i="90"/>
  <c r="AG99" i="90"/>
  <c r="AH99" i="90"/>
  <c r="AI99" i="90"/>
  <c r="AJ99" i="90"/>
  <c r="AK99" i="90"/>
  <c r="AL99" i="90"/>
  <c r="AM99" i="90"/>
  <c r="AN99" i="90"/>
  <c r="AO99" i="90"/>
  <c r="AP99" i="90"/>
  <c r="AQ99" i="90"/>
  <c r="AR99" i="90"/>
  <c r="AS99" i="90"/>
  <c r="AT99" i="90"/>
  <c r="AU99" i="90"/>
  <c r="AV99" i="90"/>
  <c r="AW99" i="90"/>
  <c r="AX99" i="90"/>
  <c r="AY99" i="90"/>
  <c r="AZ99" i="90"/>
  <c r="AE100" i="90"/>
  <c r="AF100" i="90"/>
  <c r="AG100" i="90"/>
  <c r="AH100" i="90"/>
  <c r="AI100" i="90"/>
  <c r="AJ100" i="90"/>
  <c r="AK100" i="90"/>
  <c r="AL100" i="90"/>
  <c r="AM100" i="90"/>
  <c r="AN100" i="90"/>
  <c r="AO100" i="90"/>
  <c r="AP100" i="90"/>
  <c r="AQ100" i="90"/>
  <c r="AR100" i="90"/>
  <c r="AS100" i="90"/>
  <c r="AT100" i="90"/>
  <c r="AU100" i="90"/>
  <c r="AV100" i="90"/>
  <c r="AW100" i="90"/>
  <c r="AX100" i="90"/>
  <c r="AY100" i="90"/>
  <c r="AZ100" i="90"/>
  <c r="AE101" i="90"/>
  <c r="AF101" i="90"/>
  <c r="AG101" i="90"/>
  <c r="AH101" i="90"/>
  <c r="AI101" i="90"/>
  <c r="AJ101" i="90"/>
  <c r="AK101" i="90"/>
  <c r="AL101" i="90"/>
  <c r="AM101" i="90"/>
  <c r="AN101" i="90"/>
  <c r="AO101" i="90"/>
  <c r="AP101" i="90"/>
  <c r="AQ101" i="90"/>
  <c r="AR101" i="90"/>
  <c r="AS101" i="90"/>
  <c r="AT101" i="90"/>
  <c r="AU101" i="90"/>
  <c r="AV101" i="90"/>
  <c r="AW101" i="90"/>
  <c r="AX101" i="90"/>
  <c r="AY101" i="90"/>
  <c r="AZ101" i="90"/>
  <c r="AE102" i="90"/>
  <c r="AF102" i="90"/>
  <c r="AG102" i="90"/>
  <c r="AH102" i="90"/>
  <c r="AI102" i="90"/>
  <c r="AJ102" i="90"/>
  <c r="AK102" i="90"/>
  <c r="AL102" i="90"/>
  <c r="AM102" i="90"/>
  <c r="AN102" i="90"/>
  <c r="AO102" i="90"/>
  <c r="AP102" i="90"/>
  <c r="AQ102" i="90"/>
  <c r="AR102" i="90"/>
  <c r="AS102" i="90"/>
  <c r="AT102" i="90"/>
  <c r="AU102" i="90"/>
  <c r="AV102" i="90"/>
  <c r="AW102" i="90"/>
  <c r="AX102" i="90"/>
  <c r="AY102" i="90"/>
  <c r="AZ102" i="90"/>
  <c r="AE103" i="90"/>
  <c r="AF103" i="90"/>
  <c r="AG103" i="90"/>
  <c r="AH103" i="90"/>
  <c r="AI103" i="90"/>
  <c r="AJ103" i="90"/>
  <c r="AK103" i="90"/>
  <c r="AL103" i="90"/>
  <c r="AM103" i="90"/>
  <c r="AN103" i="90"/>
  <c r="AO103" i="90"/>
  <c r="AP103" i="90"/>
  <c r="AQ103" i="90"/>
  <c r="AR103" i="90"/>
  <c r="AS103" i="90"/>
  <c r="AT103" i="90"/>
  <c r="AU103" i="90"/>
  <c r="AV103" i="90"/>
  <c r="AW103" i="90"/>
  <c r="AX103" i="90"/>
  <c r="AY103" i="90"/>
  <c r="AZ103" i="90"/>
  <c r="AE104" i="90"/>
  <c r="AF104" i="90"/>
  <c r="AG104" i="90"/>
  <c r="AH104" i="90"/>
  <c r="AI104" i="90"/>
  <c r="AJ104" i="90"/>
  <c r="AK104" i="90"/>
  <c r="AL104" i="90"/>
  <c r="AM104" i="90"/>
  <c r="AN104" i="90"/>
  <c r="AO104" i="90"/>
  <c r="AP104" i="90"/>
  <c r="AQ104" i="90"/>
  <c r="AR104" i="90"/>
  <c r="AS104" i="90"/>
  <c r="AT104" i="90"/>
  <c r="AU104" i="90"/>
  <c r="AV104" i="90"/>
  <c r="AW104" i="90"/>
  <c r="AX104" i="90"/>
  <c r="AY104" i="90"/>
  <c r="AZ104" i="90"/>
  <c r="AE105" i="90"/>
  <c r="AF105" i="90"/>
  <c r="AG105" i="90"/>
  <c r="AH105" i="90"/>
  <c r="AI105" i="90"/>
  <c r="AJ105" i="90"/>
  <c r="AK105" i="90"/>
  <c r="AL105" i="90"/>
  <c r="AM105" i="90"/>
  <c r="AN105" i="90"/>
  <c r="AO105" i="90"/>
  <c r="AP105" i="90"/>
  <c r="AQ105" i="90"/>
  <c r="AR105" i="90"/>
  <c r="AS105" i="90"/>
  <c r="AT105" i="90"/>
  <c r="AU105" i="90"/>
  <c r="AV105" i="90"/>
  <c r="AW105" i="90"/>
  <c r="AX105" i="90"/>
  <c r="AY105" i="90"/>
  <c r="AZ105" i="90"/>
  <c r="AE106" i="90"/>
  <c r="AF106" i="90"/>
  <c r="AG106" i="90"/>
  <c r="AH106" i="90"/>
  <c r="AI106" i="90"/>
  <c r="AJ106" i="90"/>
  <c r="AK106" i="90"/>
  <c r="AL106" i="90"/>
  <c r="AM106" i="90"/>
  <c r="AN106" i="90"/>
  <c r="AO106" i="90"/>
  <c r="AP106" i="90"/>
  <c r="AQ106" i="90"/>
  <c r="AR106" i="90"/>
  <c r="AS106" i="90"/>
  <c r="AT106" i="90"/>
  <c r="AU106" i="90"/>
  <c r="AV106" i="90"/>
  <c r="AW106" i="90"/>
  <c r="AX106" i="90"/>
  <c r="AY106" i="90"/>
  <c r="AZ106" i="90"/>
  <c r="AE107" i="90"/>
  <c r="AF107" i="90"/>
  <c r="AG107" i="90"/>
  <c r="AH107" i="90"/>
  <c r="AI107" i="90"/>
  <c r="AJ107" i="90"/>
  <c r="AK107" i="90"/>
  <c r="AL107" i="90"/>
  <c r="AM107" i="90"/>
  <c r="AN107" i="90"/>
  <c r="AO107" i="90"/>
  <c r="AP107" i="90"/>
  <c r="AQ107" i="90"/>
  <c r="AR107" i="90"/>
  <c r="AS107" i="90"/>
  <c r="AT107" i="90"/>
  <c r="AU107" i="90"/>
  <c r="AV107" i="90"/>
  <c r="AW107" i="90"/>
  <c r="AX107" i="90"/>
  <c r="AY107" i="90"/>
  <c r="AZ107" i="90"/>
  <c r="AE108" i="90"/>
  <c r="AF108" i="90"/>
  <c r="AG108" i="90"/>
  <c r="AH108" i="90"/>
  <c r="AI108" i="90"/>
  <c r="AJ108" i="90"/>
  <c r="AK108" i="90"/>
  <c r="AL108" i="90"/>
  <c r="AM108" i="90"/>
  <c r="AN108" i="90"/>
  <c r="AO108" i="90"/>
  <c r="AP108" i="90"/>
  <c r="AQ108" i="90"/>
  <c r="AR108" i="90"/>
  <c r="AS108" i="90"/>
  <c r="AT108" i="90"/>
  <c r="AU108" i="90"/>
  <c r="AV108" i="90"/>
  <c r="AW108" i="90"/>
  <c r="AX108" i="90"/>
  <c r="AY108" i="90"/>
  <c r="AZ108" i="90"/>
  <c r="AE109" i="90"/>
  <c r="AF109" i="90"/>
  <c r="AG109" i="90"/>
  <c r="AH109" i="90"/>
  <c r="AI109" i="90"/>
  <c r="AJ109" i="90"/>
  <c r="AK109" i="90"/>
  <c r="AL109" i="90"/>
  <c r="AM109" i="90"/>
  <c r="AN109" i="90"/>
  <c r="AO109" i="90"/>
  <c r="AP109" i="90"/>
  <c r="AQ109" i="90"/>
  <c r="AR109" i="90"/>
  <c r="AS109" i="90"/>
  <c r="AT109" i="90"/>
  <c r="AU109" i="90"/>
  <c r="AV109" i="90"/>
  <c r="AW109" i="90"/>
  <c r="AX109" i="90"/>
  <c r="AY109" i="90"/>
  <c r="AZ109" i="90"/>
  <c r="AE110" i="90"/>
  <c r="AF110" i="90"/>
  <c r="AG110" i="90"/>
  <c r="AH110" i="90"/>
  <c r="AI110" i="90"/>
  <c r="AJ110" i="90"/>
  <c r="AK110" i="90"/>
  <c r="AL110" i="90"/>
  <c r="AM110" i="90"/>
  <c r="AN110" i="90"/>
  <c r="AO110" i="90"/>
  <c r="AP110" i="90"/>
  <c r="AQ110" i="90"/>
  <c r="AR110" i="90"/>
  <c r="AS110" i="90"/>
  <c r="AT110" i="90"/>
  <c r="AU110" i="90"/>
  <c r="AV110" i="90"/>
  <c r="AW110" i="90"/>
  <c r="AX110" i="90"/>
  <c r="AY110" i="90"/>
  <c r="AZ110" i="90"/>
  <c r="AD109" i="90"/>
  <c r="AD110" i="90"/>
  <c r="AD108" i="90"/>
  <c r="AD88" i="90"/>
  <c r="AD89" i="90"/>
  <c r="AD90" i="90"/>
  <c r="AD91" i="90"/>
  <c r="AD92" i="90"/>
  <c r="AD93" i="90"/>
  <c r="AD94" i="90"/>
  <c r="AD95" i="90"/>
  <c r="AD96" i="90"/>
  <c r="AD97" i="90"/>
  <c r="AD98" i="90"/>
  <c r="AD99" i="90"/>
  <c r="AD100" i="90"/>
  <c r="AD101" i="90"/>
  <c r="AD102" i="90"/>
  <c r="AD103" i="90"/>
  <c r="AD104" i="90"/>
  <c r="AD105" i="90"/>
  <c r="AD106" i="90"/>
  <c r="AD107" i="90"/>
  <c r="AD87" i="90"/>
  <c r="AD112" i="90" s="1"/>
  <c r="AD83" i="90"/>
  <c r="AD85" i="90"/>
  <c r="AD86" i="90"/>
  <c r="AD84" i="90"/>
  <c r="F83" i="90"/>
  <c r="G83" i="90"/>
  <c r="H83" i="90"/>
  <c r="I83" i="90"/>
  <c r="J83" i="90"/>
  <c r="K83" i="90"/>
  <c r="L83" i="90"/>
  <c r="M83" i="90"/>
  <c r="N83" i="90"/>
  <c r="O83" i="90"/>
  <c r="P83" i="90"/>
  <c r="Q83" i="90"/>
  <c r="R83" i="90"/>
  <c r="S83" i="90"/>
  <c r="T83" i="90"/>
  <c r="U83" i="90"/>
  <c r="V83" i="90"/>
  <c r="W83" i="90"/>
  <c r="X83" i="90"/>
  <c r="Y83" i="90"/>
  <c r="Z83" i="90"/>
  <c r="AA83" i="90"/>
  <c r="AB83" i="90"/>
  <c r="AC83" i="90"/>
  <c r="F84" i="90"/>
  <c r="G84" i="90"/>
  <c r="H84" i="90"/>
  <c r="I84" i="90"/>
  <c r="J84" i="90"/>
  <c r="K84" i="90"/>
  <c r="L84" i="90"/>
  <c r="M84" i="90"/>
  <c r="N84" i="90"/>
  <c r="O84" i="90"/>
  <c r="P84" i="90"/>
  <c r="Q84" i="90"/>
  <c r="R84" i="90"/>
  <c r="S84" i="90"/>
  <c r="T84" i="90"/>
  <c r="U84" i="90"/>
  <c r="V84" i="90"/>
  <c r="W84" i="90"/>
  <c r="X84" i="90"/>
  <c r="Y84" i="90"/>
  <c r="Z84" i="90"/>
  <c r="AA84" i="90"/>
  <c r="AB84" i="90"/>
  <c r="AC84" i="90"/>
  <c r="F85" i="90"/>
  <c r="G85" i="90"/>
  <c r="H85" i="90"/>
  <c r="I85" i="90"/>
  <c r="J85" i="90"/>
  <c r="K85" i="90"/>
  <c r="L85" i="90"/>
  <c r="M85" i="90"/>
  <c r="N85" i="90"/>
  <c r="O85" i="90"/>
  <c r="P85" i="90"/>
  <c r="Q85" i="90"/>
  <c r="R85" i="90"/>
  <c r="S85" i="90"/>
  <c r="T85" i="90"/>
  <c r="U85" i="90"/>
  <c r="V85" i="90"/>
  <c r="W85" i="90"/>
  <c r="X85" i="90"/>
  <c r="Y85" i="90"/>
  <c r="Z85" i="90"/>
  <c r="AA85" i="90"/>
  <c r="AB85" i="90"/>
  <c r="AC85" i="90"/>
  <c r="F86" i="90"/>
  <c r="G86" i="90"/>
  <c r="H86" i="90"/>
  <c r="I86" i="90"/>
  <c r="J86" i="90"/>
  <c r="K86" i="90"/>
  <c r="L86" i="90"/>
  <c r="M86" i="90"/>
  <c r="N86" i="90"/>
  <c r="O86" i="90"/>
  <c r="P86" i="90"/>
  <c r="Q86" i="90"/>
  <c r="R86" i="90"/>
  <c r="S86" i="90"/>
  <c r="T86" i="90"/>
  <c r="U86" i="90"/>
  <c r="V86" i="90"/>
  <c r="W86" i="90"/>
  <c r="X86" i="90"/>
  <c r="Y86" i="90"/>
  <c r="Z86" i="90"/>
  <c r="AA86" i="90"/>
  <c r="AB86" i="90"/>
  <c r="AC86" i="90"/>
  <c r="F87" i="90"/>
  <c r="G87" i="90"/>
  <c r="H87" i="90"/>
  <c r="I87" i="90"/>
  <c r="J87" i="90"/>
  <c r="K87" i="90"/>
  <c r="L87" i="90"/>
  <c r="M87" i="90"/>
  <c r="N87" i="90"/>
  <c r="O87" i="90"/>
  <c r="P87" i="90"/>
  <c r="Q87" i="90"/>
  <c r="R87" i="90"/>
  <c r="S87" i="90"/>
  <c r="T87" i="90"/>
  <c r="U87" i="90"/>
  <c r="V87" i="90"/>
  <c r="W87" i="90"/>
  <c r="X87" i="90"/>
  <c r="Y87" i="90"/>
  <c r="Z87" i="90"/>
  <c r="AA87" i="90"/>
  <c r="AB87" i="90"/>
  <c r="AC87" i="90"/>
  <c r="F88" i="90"/>
  <c r="G88" i="90"/>
  <c r="H88" i="90"/>
  <c r="I88" i="90"/>
  <c r="J88" i="90"/>
  <c r="K88" i="90"/>
  <c r="L88" i="90"/>
  <c r="M88" i="90"/>
  <c r="N88" i="90"/>
  <c r="O88" i="90"/>
  <c r="P88" i="90"/>
  <c r="Q88" i="90"/>
  <c r="R88" i="90"/>
  <c r="S88" i="90"/>
  <c r="T88" i="90"/>
  <c r="U88" i="90"/>
  <c r="V88" i="90"/>
  <c r="W88" i="90"/>
  <c r="X88" i="90"/>
  <c r="Y88" i="90"/>
  <c r="Z88" i="90"/>
  <c r="AA88" i="90"/>
  <c r="AB88" i="90"/>
  <c r="AC88" i="90"/>
  <c r="F89" i="90"/>
  <c r="G89" i="90"/>
  <c r="H89" i="90"/>
  <c r="I89" i="90"/>
  <c r="J89" i="90"/>
  <c r="K89" i="90"/>
  <c r="L89" i="90"/>
  <c r="M89" i="90"/>
  <c r="N89" i="90"/>
  <c r="O89" i="90"/>
  <c r="P89" i="90"/>
  <c r="Q89" i="90"/>
  <c r="R89" i="90"/>
  <c r="S89" i="90"/>
  <c r="T89" i="90"/>
  <c r="U89" i="90"/>
  <c r="V89" i="90"/>
  <c r="W89" i="90"/>
  <c r="X89" i="90"/>
  <c r="Y89" i="90"/>
  <c r="Z89" i="90"/>
  <c r="AA89" i="90"/>
  <c r="AB89" i="90"/>
  <c r="AC89" i="90"/>
  <c r="F90" i="90"/>
  <c r="G90" i="90"/>
  <c r="H90" i="90"/>
  <c r="I90" i="90"/>
  <c r="J90" i="90"/>
  <c r="K90" i="90"/>
  <c r="L90" i="90"/>
  <c r="M90" i="90"/>
  <c r="N90" i="90"/>
  <c r="O90" i="90"/>
  <c r="P90" i="90"/>
  <c r="Q90" i="90"/>
  <c r="R90" i="90"/>
  <c r="S90" i="90"/>
  <c r="T90" i="90"/>
  <c r="U90" i="90"/>
  <c r="V90" i="90"/>
  <c r="W90" i="90"/>
  <c r="X90" i="90"/>
  <c r="Y90" i="90"/>
  <c r="Z90" i="90"/>
  <c r="AA90" i="90"/>
  <c r="AB90" i="90"/>
  <c r="AC90" i="90"/>
  <c r="F91" i="90"/>
  <c r="G91" i="90"/>
  <c r="H91" i="90"/>
  <c r="I91" i="90"/>
  <c r="J91" i="90"/>
  <c r="K91" i="90"/>
  <c r="L91" i="90"/>
  <c r="M91" i="90"/>
  <c r="N91" i="90"/>
  <c r="O91" i="90"/>
  <c r="P91" i="90"/>
  <c r="Q91" i="90"/>
  <c r="R91" i="90"/>
  <c r="S91" i="90"/>
  <c r="T91" i="90"/>
  <c r="U91" i="90"/>
  <c r="V91" i="90"/>
  <c r="W91" i="90"/>
  <c r="X91" i="90"/>
  <c r="Y91" i="90"/>
  <c r="Z91" i="90"/>
  <c r="AA91" i="90"/>
  <c r="AB91" i="90"/>
  <c r="AC91" i="90"/>
  <c r="F92" i="90"/>
  <c r="G92" i="90"/>
  <c r="H92" i="90"/>
  <c r="I92" i="90"/>
  <c r="J92" i="90"/>
  <c r="K92" i="90"/>
  <c r="L92" i="90"/>
  <c r="M92" i="90"/>
  <c r="N92" i="90"/>
  <c r="O92" i="90"/>
  <c r="P92" i="90"/>
  <c r="Q92" i="90"/>
  <c r="R92" i="90"/>
  <c r="S92" i="90"/>
  <c r="T92" i="90"/>
  <c r="U92" i="90"/>
  <c r="V92" i="90"/>
  <c r="W92" i="90"/>
  <c r="X92" i="90"/>
  <c r="Y92" i="90"/>
  <c r="Z92" i="90"/>
  <c r="AA92" i="90"/>
  <c r="AB92" i="90"/>
  <c r="AC92" i="90"/>
  <c r="F93" i="90"/>
  <c r="G93" i="90"/>
  <c r="H93" i="90"/>
  <c r="I93" i="90"/>
  <c r="J93" i="90"/>
  <c r="K93" i="90"/>
  <c r="L93" i="90"/>
  <c r="M93" i="90"/>
  <c r="N93" i="90"/>
  <c r="O93" i="90"/>
  <c r="P93" i="90"/>
  <c r="Q93" i="90"/>
  <c r="R93" i="90"/>
  <c r="S93" i="90"/>
  <c r="T93" i="90"/>
  <c r="U93" i="90"/>
  <c r="V93" i="90"/>
  <c r="W93" i="90"/>
  <c r="X93" i="90"/>
  <c r="Y93" i="90"/>
  <c r="Z93" i="90"/>
  <c r="AA93" i="90"/>
  <c r="AB93" i="90"/>
  <c r="AC93" i="90"/>
  <c r="F94" i="90"/>
  <c r="G94" i="90"/>
  <c r="H94" i="90"/>
  <c r="I94" i="90"/>
  <c r="J94" i="90"/>
  <c r="K94" i="90"/>
  <c r="L94" i="90"/>
  <c r="M94" i="90"/>
  <c r="N94" i="90"/>
  <c r="O94" i="90"/>
  <c r="P94" i="90"/>
  <c r="Q94" i="90"/>
  <c r="R94" i="90"/>
  <c r="S94" i="90"/>
  <c r="T94" i="90"/>
  <c r="U94" i="90"/>
  <c r="V94" i="90"/>
  <c r="W94" i="90"/>
  <c r="X94" i="90"/>
  <c r="Y94" i="90"/>
  <c r="Z94" i="90"/>
  <c r="AA94" i="90"/>
  <c r="AB94" i="90"/>
  <c r="AC94" i="90"/>
  <c r="F95" i="90"/>
  <c r="G95" i="90"/>
  <c r="H95" i="90"/>
  <c r="I95" i="90"/>
  <c r="J95" i="90"/>
  <c r="K95" i="90"/>
  <c r="L95" i="90"/>
  <c r="M95" i="90"/>
  <c r="N95" i="90"/>
  <c r="O95" i="90"/>
  <c r="P95" i="90"/>
  <c r="Q95" i="90"/>
  <c r="R95" i="90"/>
  <c r="S95" i="90"/>
  <c r="T95" i="90"/>
  <c r="U95" i="90"/>
  <c r="V95" i="90"/>
  <c r="W95" i="90"/>
  <c r="X95" i="90"/>
  <c r="Y95" i="90"/>
  <c r="Z95" i="90"/>
  <c r="AA95" i="90"/>
  <c r="AB95" i="90"/>
  <c r="AC95" i="90"/>
  <c r="F96" i="90"/>
  <c r="G96" i="90"/>
  <c r="H96" i="90"/>
  <c r="I96" i="90"/>
  <c r="J96" i="90"/>
  <c r="K96" i="90"/>
  <c r="L96" i="90"/>
  <c r="M96" i="90"/>
  <c r="N96" i="90"/>
  <c r="O96" i="90"/>
  <c r="P96" i="90"/>
  <c r="Q96" i="90"/>
  <c r="R96" i="90"/>
  <c r="S96" i="90"/>
  <c r="T96" i="90"/>
  <c r="U96" i="90"/>
  <c r="V96" i="90"/>
  <c r="W96" i="90"/>
  <c r="X96" i="90"/>
  <c r="Y96" i="90"/>
  <c r="Z96" i="90"/>
  <c r="AA96" i="90"/>
  <c r="AB96" i="90"/>
  <c r="AC96" i="90"/>
  <c r="F97" i="90"/>
  <c r="G97" i="90"/>
  <c r="H97" i="90"/>
  <c r="I97" i="90"/>
  <c r="J97" i="90"/>
  <c r="K97" i="90"/>
  <c r="L97" i="90"/>
  <c r="M97" i="90"/>
  <c r="N97" i="90"/>
  <c r="O97" i="90"/>
  <c r="P97" i="90"/>
  <c r="Q97" i="90"/>
  <c r="R97" i="90"/>
  <c r="S97" i="90"/>
  <c r="T97" i="90"/>
  <c r="U97" i="90"/>
  <c r="V97" i="90"/>
  <c r="W97" i="90"/>
  <c r="X97" i="90"/>
  <c r="Y97" i="90"/>
  <c r="Z97" i="90"/>
  <c r="AA97" i="90"/>
  <c r="AB97" i="90"/>
  <c r="AC97" i="90"/>
  <c r="F98" i="90"/>
  <c r="G98" i="90"/>
  <c r="H98" i="90"/>
  <c r="I98" i="90"/>
  <c r="J98" i="90"/>
  <c r="K98" i="90"/>
  <c r="L98" i="90"/>
  <c r="M98" i="90"/>
  <c r="N98" i="90"/>
  <c r="O98" i="90"/>
  <c r="P98" i="90"/>
  <c r="Q98" i="90"/>
  <c r="R98" i="90"/>
  <c r="S98" i="90"/>
  <c r="T98" i="90"/>
  <c r="U98" i="90"/>
  <c r="V98" i="90"/>
  <c r="W98" i="90"/>
  <c r="X98" i="90"/>
  <c r="Y98" i="90"/>
  <c r="Z98" i="90"/>
  <c r="AA98" i="90"/>
  <c r="AB98" i="90"/>
  <c r="AC98" i="90"/>
  <c r="F99" i="90"/>
  <c r="G99" i="90"/>
  <c r="H99" i="90"/>
  <c r="I99" i="90"/>
  <c r="J99" i="90"/>
  <c r="K99" i="90"/>
  <c r="L99" i="90"/>
  <c r="M99" i="90"/>
  <c r="N99" i="90"/>
  <c r="O99" i="90"/>
  <c r="P99" i="90"/>
  <c r="Q99" i="90"/>
  <c r="R99" i="90"/>
  <c r="S99" i="90"/>
  <c r="T99" i="90"/>
  <c r="U99" i="90"/>
  <c r="V99" i="90"/>
  <c r="W99" i="90"/>
  <c r="X99" i="90"/>
  <c r="Y99" i="90"/>
  <c r="Z99" i="90"/>
  <c r="AA99" i="90"/>
  <c r="AB99" i="90"/>
  <c r="AC99" i="90"/>
  <c r="F100" i="90"/>
  <c r="G100" i="90"/>
  <c r="H100" i="90"/>
  <c r="I100" i="90"/>
  <c r="J100" i="90"/>
  <c r="K100" i="90"/>
  <c r="L100" i="90"/>
  <c r="M100" i="90"/>
  <c r="N100" i="90"/>
  <c r="O100" i="90"/>
  <c r="P100" i="90"/>
  <c r="Q100" i="90"/>
  <c r="R100" i="90"/>
  <c r="S100" i="90"/>
  <c r="T100" i="90"/>
  <c r="U100" i="90"/>
  <c r="V100" i="90"/>
  <c r="W100" i="90"/>
  <c r="X100" i="90"/>
  <c r="Y100" i="90"/>
  <c r="Z100" i="90"/>
  <c r="AA100" i="90"/>
  <c r="AB100" i="90"/>
  <c r="AC100" i="90"/>
  <c r="F101" i="90"/>
  <c r="G101" i="90"/>
  <c r="H101" i="90"/>
  <c r="I101" i="90"/>
  <c r="J101" i="90"/>
  <c r="K101" i="90"/>
  <c r="L101" i="90"/>
  <c r="M101" i="90"/>
  <c r="N101" i="90"/>
  <c r="O101" i="90"/>
  <c r="P101" i="90"/>
  <c r="Q101" i="90"/>
  <c r="R101" i="90"/>
  <c r="S101" i="90"/>
  <c r="T101" i="90"/>
  <c r="U101" i="90"/>
  <c r="V101" i="90"/>
  <c r="W101" i="90"/>
  <c r="X101" i="90"/>
  <c r="Y101" i="90"/>
  <c r="Z101" i="90"/>
  <c r="AA101" i="90"/>
  <c r="AB101" i="90"/>
  <c r="AC101" i="90"/>
  <c r="F102" i="90"/>
  <c r="G102" i="90"/>
  <c r="H102" i="90"/>
  <c r="I102" i="90"/>
  <c r="J102" i="90"/>
  <c r="K102" i="90"/>
  <c r="L102" i="90"/>
  <c r="M102" i="90"/>
  <c r="N102" i="90"/>
  <c r="O102" i="90"/>
  <c r="P102" i="90"/>
  <c r="Q102" i="90"/>
  <c r="R102" i="90"/>
  <c r="S102" i="90"/>
  <c r="T102" i="90"/>
  <c r="U102" i="90"/>
  <c r="V102" i="90"/>
  <c r="W102" i="90"/>
  <c r="X102" i="90"/>
  <c r="Y102" i="90"/>
  <c r="Z102" i="90"/>
  <c r="AA102" i="90"/>
  <c r="AB102" i="90"/>
  <c r="AC102" i="90"/>
  <c r="F103" i="90"/>
  <c r="G103" i="90"/>
  <c r="H103" i="90"/>
  <c r="I103" i="90"/>
  <c r="J103" i="90"/>
  <c r="K103" i="90"/>
  <c r="L103" i="90"/>
  <c r="M103" i="90"/>
  <c r="N103" i="90"/>
  <c r="O103" i="90"/>
  <c r="P103" i="90"/>
  <c r="Q103" i="90"/>
  <c r="R103" i="90"/>
  <c r="S103" i="90"/>
  <c r="T103" i="90"/>
  <c r="U103" i="90"/>
  <c r="V103" i="90"/>
  <c r="W103" i="90"/>
  <c r="X103" i="90"/>
  <c r="Y103" i="90"/>
  <c r="Z103" i="90"/>
  <c r="AA103" i="90"/>
  <c r="AB103" i="90"/>
  <c r="AC103" i="90"/>
  <c r="F104" i="90"/>
  <c r="G104" i="90"/>
  <c r="H104" i="90"/>
  <c r="I104" i="90"/>
  <c r="J104" i="90"/>
  <c r="K104" i="90"/>
  <c r="L104" i="90"/>
  <c r="M104" i="90"/>
  <c r="N104" i="90"/>
  <c r="O104" i="90"/>
  <c r="P104" i="90"/>
  <c r="Q104" i="90"/>
  <c r="R104" i="90"/>
  <c r="S104" i="90"/>
  <c r="T104" i="90"/>
  <c r="U104" i="90"/>
  <c r="V104" i="90"/>
  <c r="W104" i="90"/>
  <c r="X104" i="90"/>
  <c r="Y104" i="90"/>
  <c r="Z104" i="90"/>
  <c r="AA104" i="90"/>
  <c r="AB104" i="90"/>
  <c r="AC104" i="90"/>
  <c r="F105" i="90"/>
  <c r="G105" i="90"/>
  <c r="H105" i="90"/>
  <c r="I105" i="90"/>
  <c r="J105" i="90"/>
  <c r="K105" i="90"/>
  <c r="L105" i="90"/>
  <c r="M105" i="90"/>
  <c r="N105" i="90"/>
  <c r="O105" i="90"/>
  <c r="P105" i="90"/>
  <c r="Q105" i="90"/>
  <c r="R105" i="90"/>
  <c r="S105" i="90"/>
  <c r="T105" i="90"/>
  <c r="U105" i="90"/>
  <c r="V105" i="90"/>
  <c r="W105" i="90"/>
  <c r="X105" i="90"/>
  <c r="Y105" i="90"/>
  <c r="Z105" i="90"/>
  <c r="AA105" i="90"/>
  <c r="AB105" i="90"/>
  <c r="AC105" i="90"/>
  <c r="F106" i="90"/>
  <c r="G106" i="90"/>
  <c r="H106" i="90"/>
  <c r="I106" i="90"/>
  <c r="J106" i="90"/>
  <c r="K106" i="90"/>
  <c r="L106" i="90"/>
  <c r="M106" i="90"/>
  <c r="N106" i="90"/>
  <c r="O106" i="90"/>
  <c r="P106" i="90"/>
  <c r="Q106" i="90"/>
  <c r="R106" i="90"/>
  <c r="S106" i="90"/>
  <c r="T106" i="90"/>
  <c r="U106" i="90"/>
  <c r="V106" i="90"/>
  <c r="W106" i="90"/>
  <c r="X106" i="90"/>
  <c r="Y106" i="90"/>
  <c r="Z106" i="90"/>
  <c r="AA106" i="90"/>
  <c r="AB106" i="90"/>
  <c r="AC106" i="90"/>
  <c r="F107" i="90"/>
  <c r="G107" i="90"/>
  <c r="H107" i="90"/>
  <c r="I107" i="90"/>
  <c r="J107" i="90"/>
  <c r="K107" i="90"/>
  <c r="L107" i="90"/>
  <c r="M107" i="90"/>
  <c r="N107" i="90"/>
  <c r="O107" i="90"/>
  <c r="P107" i="90"/>
  <c r="Q107" i="90"/>
  <c r="R107" i="90"/>
  <c r="S107" i="90"/>
  <c r="T107" i="90"/>
  <c r="U107" i="90"/>
  <c r="V107" i="90"/>
  <c r="W107" i="90"/>
  <c r="X107" i="90"/>
  <c r="Y107" i="90"/>
  <c r="Z107" i="90"/>
  <c r="AA107" i="90"/>
  <c r="AB107" i="90"/>
  <c r="AC107" i="90"/>
  <c r="F108" i="90"/>
  <c r="G108" i="90"/>
  <c r="H108" i="90"/>
  <c r="I108" i="90"/>
  <c r="J108" i="90"/>
  <c r="K108" i="90"/>
  <c r="L108" i="90"/>
  <c r="M108" i="90"/>
  <c r="N108" i="90"/>
  <c r="O108" i="90"/>
  <c r="P108" i="90"/>
  <c r="Q108" i="90"/>
  <c r="R108" i="90"/>
  <c r="S108" i="90"/>
  <c r="T108" i="90"/>
  <c r="U108" i="90"/>
  <c r="V108" i="90"/>
  <c r="W108" i="90"/>
  <c r="X108" i="90"/>
  <c r="Y108" i="90"/>
  <c r="Z108" i="90"/>
  <c r="AA108" i="90"/>
  <c r="AB108" i="90"/>
  <c r="AC108" i="90"/>
  <c r="F109" i="90"/>
  <c r="G109" i="90"/>
  <c r="H109" i="90"/>
  <c r="I109" i="90"/>
  <c r="J109" i="90"/>
  <c r="K109" i="90"/>
  <c r="L109" i="90"/>
  <c r="M109" i="90"/>
  <c r="N109" i="90"/>
  <c r="O109" i="90"/>
  <c r="P109" i="90"/>
  <c r="Q109" i="90"/>
  <c r="R109" i="90"/>
  <c r="S109" i="90"/>
  <c r="T109" i="90"/>
  <c r="U109" i="90"/>
  <c r="V109" i="90"/>
  <c r="W109" i="90"/>
  <c r="X109" i="90"/>
  <c r="Y109" i="90"/>
  <c r="Z109" i="90"/>
  <c r="AA109" i="90"/>
  <c r="AB109" i="90"/>
  <c r="AC109" i="90"/>
  <c r="F110" i="90"/>
  <c r="G110" i="90"/>
  <c r="H110" i="90"/>
  <c r="I110" i="90"/>
  <c r="J110" i="90"/>
  <c r="K110" i="90"/>
  <c r="L110" i="90"/>
  <c r="M110" i="90"/>
  <c r="N110" i="90"/>
  <c r="O110" i="90"/>
  <c r="P110" i="90"/>
  <c r="Q110" i="90"/>
  <c r="R110" i="90"/>
  <c r="S110" i="90"/>
  <c r="T110" i="90"/>
  <c r="U110" i="90"/>
  <c r="V110" i="90"/>
  <c r="W110" i="90"/>
  <c r="X110" i="90"/>
  <c r="Y110" i="90"/>
  <c r="Z110" i="90"/>
  <c r="AA110" i="90"/>
  <c r="AB110" i="90"/>
  <c r="AC110" i="90"/>
  <c r="E110" i="90"/>
  <c r="E109" i="90"/>
  <c r="E108" i="90"/>
  <c r="E88" i="90"/>
  <c r="E89" i="90"/>
  <c r="E90" i="90"/>
  <c r="E91" i="90"/>
  <c r="E92" i="90"/>
  <c r="E93" i="90"/>
  <c r="E94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87" i="90"/>
  <c r="E112" i="90" s="1"/>
  <c r="E83" i="90"/>
  <c r="E85" i="90"/>
  <c r="E86" i="90"/>
  <c r="E84" i="90"/>
  <c r="F48" i="90"/>
  <c r="G48" i="90"/>
  <c r="H48" i="90"/>
  <c r="I48" i="90"/>
  <c r="J48" i="90"/>
  <c r="K48" i="90"/>
  <c r="L48" i="90"/>
  <c r="M48" i="90"/>
  <c r="N48" i="90"/>
  <c r="O48" i="90"/>
  <c r="P48" i="90"/>
  <c r="Q48" i="90"/>
  <c r="R48" i="90"/>
  <c r="S48" i="90"/>
  <c r="T48" i="90"/>
  <c r="U48" i="90"/>
  <c r="V48" i="90"/>
  <c r="W48" i="90"/>
  <c r="X48" i="90"/>
  <c r="Y48" i="90"/>
  <c r="Z48" i="90"/>
  <c r="AA48" i="90"/>
  <c r="AB48" i="90"/>
  <c r="AC48" i="90"/>
  <c r="E48" i="90"/>
  <c r="F49" i="90"/>
  <c r="G49" i="90"/>
  <c r="H49" i="90"/>
  <c r="I49" i="90"/>
  <c r="J49" i="90"/>
  <c r="K49" i="90"/>
  <c r="L49" i="90"/>
  <c r="M49" i="90"/>
  <c r="N49" i="90"/>
  <c r="O49" i="90"/>
  <c r="P49" i="90"/>
  <c r="Q49" i="90"/>
  <c r="R49" i="90"/>
  <c r="S49" i="90"/>
  <c r="T49" i="90"/>
  <c r="U49" i="90"/>
  <c r="V49" i="90"/>
  <c r="W49" i="90"/>
  <c r="X49" i="90"/>
  <c r="Y49" i="90"/>
  <c r="Z49" i="90"/>
  <c r="AA49" i="90"/>
  <c r="AB49" i="90"/>
  <c r="AC49" i="90"/>
  <c r="F50" i="90"/>
  <c r="G50" i="90"/>
  <c r="H50" i="90"/>
  <c r="I50" i="90"/>
  <c r="J50" i="90"/>
  <c r="K50" i="90"/>
  <c r="L50" i="90"/>
  <c r="M50" i="90"/>
  <c r="N50" i="90"/>
  <c r="O50" i="90"/>
  <c r="P50" i="90"/>
  <c r="Q50" i="90"/>
  <c r="R50" i="90"/>
  <c r="S50" i="90"/>
  <c r="T50" i="90"/>
  <c r="U50" i="90"/>
  <c r="V50" i="90"/>
  <c r="W50" i="90"/>
  <c r="X50" i="90"/>
  <c r="Y50" i="90"/>
  <c r="Z50" i="90"/>
  <c r="AA50" i="90"/>
  <c r="AB50" i="90"/>
  <c r="AC50" i="90"/>
  <c r="F51" i="90"/>
  <c r="G51" i="90"/>
  <c r="H51" i="90"/>
  <c r="I51" i="90"/>
  <c r="J51" i="90"/>
  <c r="K51" i="90"/>
  <c r="L51" i="90"/>
  <c r="M51" i="90"/>
  <c r="N51" i="90"/>
  <c r="O51" i="90"/>
  <c r="P51" i="90"/>
  <c r="Q51" i="90"/>
  <c r="R51" i="90"/>
  <c r="S51" i="90"/>
  <c r="T51" i="90"/>
  <c r="U51" i="90"/>
  <c r="V51" i="90"/>
  <c r="W51" i="90"/>
  <c r="X51" i="90"/>
  <c r="Y51" i="90"/>
  <c r="Z51" i="90"/>
  <c r="AA51" i="90"/>
  <c r="AB51" i="90"/>
  <c r="AC51" i="90"/>
  <c r="F52" i="90"/>
  <c r="G52" i="90"/>
  <c r="H52" i="90"/>
  <c r="I52" i="90"/>
  <c r="J52" i="90"/>
  <c r="K52" i="90"/>
  <c r="L52" i="90"/>
  <c r="M52" i="90"/>
  <c r="N52" i="90"/>
  <c r="O52" i="90"/>
  <c r="P52" i="90"/>
  <c r="Q52" i="90"/>
  <c r="R52" i="90"/>
  <c r="S52" i="90"/>
  <c r="T52" i="90"/>
  <c r="U52" i="90"/>
  <c r="V52" i="90"/>
  <c r="W52" i="90"/>
  <c r="X52" i="90"/>
  <c r="Y52" i="90"/>
  <c r="Z52" i="90"/>
  <c r="AA52" i="90"/>
  <c r="AB52" i="90"/>
  <c r="AC52" i="90"/>
  <c r="F53" i="90"/>
  <c r="G53" i="90"/>
  <c r="H53" i="90"/>
  <c r="I53" i="90"/>
  <c r="J53" i="90"/>
  <c r="K53" i="90"/>
  <c r="L53" i="90"/>
  <c r="M53" i="90"/>
  <c r="N53" i="90"/>
  <c r="O53" i="90"/>
  <c r="P53" i="90"/>
  <c r="Q53" i="90"/>
  <c r="R53" i="90"/>
  <c r="S53" i="90"/>
  <c r="T53" i="90"/>
  <c r="U53" i="90"/>
  <c r="V53" i="90"/>
  <c r="W53" i="90"/>
  <c r="X53" i="90"/>
  <c r="Y53" i="90"/>
  <c r="Z53" i="90"/>
  <c r="AA53" i="90"/>
  <c r="AB53" i="90"/>
  <c r="AC53" i="90"/>
  <c r="F54" i="90"/>
  <c r="G54" i="90"/>
  <c r="H54" i="90"/>
  <c r="I54" i="90"/>
  <c r="J54" i="90"/>
  <c r="K54" i="90"/>
  <c r="L54" i="90"/>
  <c r="M54" i="90"/>
  <c r="N54" i="90"/>
  <c r="O54" i="90"/>
  <c r="P54" i="90"/>
  <c r="Q54" i="90"/>
  <c r="R54" i="90"/>
  <c r="S54" i="90"/>
  <c r="T54" i="90"/>
  <c r="U54" i="90"/>
  <c r="V54" i="90"/>
  <c r="W54" i="90"/>
  <c r="X54" i="90"/>
  <c r="Y54" i="90"/>
  <c r="Z54" i="90"/>
  <c r="AA54" i="90"/>
  <c r="AB54" i="90"/>
  <c r="AC54" i="90"/>
  <c r="F55" i="90"/>
  <c r="G55" i="90"/>
  <c r="H55" i="90"/>
  <c r="I55" i="90"/>
  <c r="J55" i="90"/>
  <c r="K55" i="90"/>
  <c r="L55" i="90"/>
  <c r="M55" i="90"/>
  <c r="N55" i="90"/>
  <c r="O55" i="90"/>
  <c r="P55" i="90"/>
  <c r="Q55" i="90"/>
  <c r="R55" i="90"/>
  <c r="S55" i="90"/>
  <c r="T55" i="90"/>
  <c r="U55" i="90"/>
  <c r="V55" i="90"/>
  <c r="W55" i="90"/>
  <c r="X55" i="90"/>
  <c r="Y55" i="90"/>
  <c r="Z55" i="90"/>
  <c r="AA55" i="90"/>
  <c r="AB55" i="90"/>
  <c r="AC55" i="90"/>
  <c r="F56" i="90"/>
  <c r="G56" i="90"/>
  <c r="H56" i="90"/>
  <c r="I56" i="90"/>
  <c r="J56" i="90"/>
  <c r="K56" i="90"/>
  <c r="L56" i="90"/>
  <c r="M56" i="90"/>
  <c r="N56" i="90"/>
  <c r="O56" i="90"/>
  <c r="P56" i="90"/>
  <c r="Q56" i="90"/>
  <c r="R56" i="90"/>
  <c r="S56" i="90"/>
  <c r="T56" i="90"/>
  <c r="U56" i="90"/>
  <c r="V56" i="90"/>
  <c r="W56" i="90"/>
  <c r="X56" i="90"/>
  <c r="Y56" i="90"/>
  <c r="Z56" i="90"/>
  <c r="AA56" i="90"/>
  <c r="AB56" i="90"/>
  <c r="AC56" i="90"/>
  <c r="F57" i="90"/>
  <c r="G57" i="90"/>
  <c r="H57" i="90"/>
  <c r="I57" i="90"/>
  <c r="J57" i="90"/>
  <c r="K57" i="90"/>
  <c r="L57" i="90"/>
  <c r="M57" i="90"/>
  <c r="N57" i="90"/>
  <c r="O57" i="90"/>
  <c r="P57" i="90"/>
  <c r="Q57" i="90"/>
  <c r="R57" i="90"/>
  <c r="S57" i="90"/>
  <c r="T57" i="90"/>
  <c r="U57" i="90"/>
  <c r="V57" i="90"/>
  <c r="W57" i="90"/>
  <c r="X57" i="90"/>
  <c r="Y57" i="90"/>
  <c r="Z57" i="90"/>
  <c r="AA57" i="90"/>
  <c r="AB57" i="90"/>
  <c r="AC57" i="90"/>
  <c r="F58" i="90"/>
  <c r="G58" i="90"/>
  <c r="H58" i="90"/>
  <c r="I58" i="90"/>
  <c r="J58" i="90"/>
  <c r="K58" i="90"/>
  <c r="L58" i="90"/>
  <c r="M58" i="90"/>
  <c r="N58" i="90"/>
  <c r="O58" i="90"/>
  <c r="P58" i="90"/>
  <c r="Q58" i="90"/>
  <c r="R58" i="90"/>
  <c r="S58" i="90"/>
  <c r="T58" i="90"/>
  <c r="U58" i="90"/>
  <c r="V58" i="90"/>
  <c r="W58" i="90"/>
  <c r="X58" i="90"/>
  <c r="Y58" i="90"/>
  <c r="Z58" i="90"/>
  <c r="AA58" i="90"/>
  <c r="AB58" i="90"/>
  <c r="AC58" i="90"/>
  <c r="F59" i="90"/>
  <c r="G59" i="90"/>
  <c r="H59" i="90"/>
  <c r="I59" i="90"/>
  <c r="J59" i="90"/>
  <c r="K59" i="90"/>
  <c r="L59" i="90"/>
  <c r="M59" i="90"/>
  <c r="N59" i="90"/>
  <c r="O59" i="90"/>
  <c r="P59" i="90"/>
  <c r="Q59" i="90"/>
  <c r="R59" i="90"/>
  <c r="S59" i="90"/>
  <c r="T59" i="90"/>
  <c r="U59" i="90"/>
  <c r="V59" i="90"/>
  <c r="W59" i="90"/>
  <c r="X59" i="90"/>
  <c r="Y59" i="90"/>
  <c r="Z59" i="90"/>
  <c r="AA59" i="90"/>
  <c r="AB59" i="90"/>
  <c r="AC59" i="90"/>
  <c r="F60" i="90"/>
  <c r="G60" i="90"/>
  <c r="H60" i="90"/>
  <c r="I60" i="90"/>
  <c r="J60" i="90"/>
  <c r="K60" i="90"/>
  <c r="L60" i="90"/>
  <c r="M60" i="90"/>
  <c r="N60" i="90"/>
  <c r="O60" i="90"/>
  <c r="P60" i="90"/>
  <c r="Q60" i="90"/>
  <c r="R60" i="90"/>
  <c r="S60" i="90"/>
  <c r="T60" i="90"/>
  <c r="U60" i="90"/>
  <c r="V60" i="90"/>
  <c r="W60" i="90"/>
  <c r="X60" i="90"/>
  <c r="Y60" i="90"/>
  <c r="Z60" i="90"/>
  <c r="AA60" i="90"/>
  <c r="AB60" i="90"/>
  <c r="AC60" i="90"/>
  <c r="F61" i="90"/>
  <c r="G61" i="90"/>
  <c r="H61" i="90"/>
  <c r="I61" i="90"/>
  <c r="J61" i="90"/>
  <c r="K61" i="90"/>
  <c r="L61" i="90"/>
  <c r="M61" i="90"/>
  <c r="N61" i="90"/>
  <c r="O61" i="90"/>
  <c r="P61" i="90"/>
  <c r="Q61" i="90"/>
  <c r="R61" i="90"/>
  <c r="S61" i="90"/>
  <c r="T61" i="90"/>
  <c r="U61" i="90"/>
  <c r="V61" i="90"/>
  <c r="W61" i="90"/>
  <c r="X61" i="90"/>
  <c r="Y61" i="90"/>
  <c r="Z61" i="90"/>
  <c r="AA61" i="90"/>
  <c r="AB61" i="90"/>
  <c r="AC61" i="90"/>
  <c r="F62" i="90"/>
  <c r="G62" i="90"/>
  <c r="H62" i="90"/>
  <c r="I62" i="90"/>
  <c r="J62" i="90"/>
  <c r="K62" i="90"/>
  <c r="L62" i="90"/>
  <c r="M62" i="90"/>
  <c r="N62" i="90"/>
  <c r="O62" i="90"/>
  <c r="P62" i="90"/>
  <c r="Q62" i="90"/>
  <c r="R62" i="90"/>
  <c r="S62" i="90"/>
  <c r="T62" i="90"/>
  <c r="U62" i="90"/>
  <c r="V62" i="90"/>
  <c r="W62" i="90"/>
  <c r="X62" i="90"/>
  <c r="Y62" i="90"/>
  <c r="Z62" i="90"/>
  <c r="AA62" i="90"/>
  <c r="AB62" i="90"/>
  <c r="AC62" i="90"/>
  <c r="F63" i="90"/>
  <c r="G63" i="90"/>
  <c r="H63" i="90"/>
  <c r="I63" i="90"/>
  <c r="J63" i="90"/>
  <c r="K63" i="90"/>
  <c r="L63" i="90"/>
  <c r="M63" i="90"/>
  <c r="N63" i="90"/>
  <c r="O63" i="90"/>
  <c r="P63" i="90"/>
  <c r="Q63" i="90"/>
  <c r="R63" i="90"/>
  <c r="S63" i="90"/>
  <c r="T63" i="90"/>
  <c r="U63" i="90"/>
  <c r="V63" i="90"/>
  <c r="W63" i="90"/>
  <c r="X63" i="90"/>
  <c r="Y63" i="90"/>
  <c r="Z63" i="90"/>
  <c r="AA63" i="90"/>
  <c r="AB63" i="90"/>
  <c r="AC63" i="90"/>
  <c r="F64" i="90"/>
  <c r="G64" i="90"/>
  <c r="H64" i="90"/>
  <c r="I64" i="90"/>
  <c r="J64" i="90"/>
  <c r="K64" i="90"/>
  <c r="L64" i="90"/>
  <c r="M64" i="90"/>
  <c r="N64" i="90"/>
  <c r="O64" i="90"/>
  <c r="P64" i="90"/>
  <c r="Q64" i="90"/>
  <c r="R64" i="90"/>
  <c r="S64" i="90"/>
  <c r="T64" i="90"/>
  <c r="U64" i="90"/>
  <c r="V64" i="90"/>
  <c r="W64" i="90"/>
  <c r="X64" i="90"/>
  <c r="Y64" i="90"/>
  <c r="Z64" i="90"/>
  <c r="AA64" i="90"/>
  <c r="AB64" i="90"/>
  <c r="AC64" i="90"/>
  <c r="F65" i="90"/>
  <c r="G65" i="90"/>
  <c r="H65" i="90"/>
  <c r="I65" i="90"/>
  <c r="J65" i="90"/>
  <c r="K65" i="90"/>
  <c r="L65" i="90"/>
  <c r="M65" i="90"/>
  <c r="N65" i="90"/>
  <c r="O65" i="90"/>
  <c r="P65" i="90"/>
  <c r="Q65" i="90"/>
  <c r="R65" i="90"/>
  <c r="S65" i="90"/>
  <c r="T65" i="90"/>
  <c r="U65" i="90"/>
  <c r="V65" i="90"/>
  <c r="W65" i="90"/>
  <c r="X65" i="90"/>
  <c r="Y65" i="90"/>
  <c r="Z65" i="90"/>
  <c r="AA65" i="90"/>
  <c r="AB65" i="90"/>
  <c r="AC65" i="90"/>
  <c r="F66" i="90"/>
  <c r="G66" i="90"/>
  <c r="H66" i="90"/>
  <c r="I66" i="90"/>
  <c r="J66" i="90"/>
  <c r="K66" i="90"/>
  <c r="L66" i="90"/>
  <c r="M66" i="90"/>
  <c r="N66" i="90"/>
  <c r="O66" i="90"/>
  <c r="P66" i="90"/>
  <c r="Q66" i="90"/>
  <c r="R66" i="90"/>
  <c r="S66" i="90"/>
  <c r="T66" i="90"/>
  <c r="U66" i="90"/>
  <c r="V66" i="90"/>
  <c r="W66" i="90"/>
  <c r="X66" i="90"/>
  <c r="Y66" i="90"/>
  <c r="Z66" i="90"/>
  <c r="AA66" i="90"/>
  <c r="AB66" i="90"/>
  <c r="AC66" i="90"/>
  <c r="F67" i="90"/>
  <c r="G67" i="90"/>
  <c r="H67" i="90"/>
  <c r="I67" i="90"/>
  <c r="J67" i="90"/>
  <c r="K67" i="90"/>
  <c r="L67" i="90"/>
  <c r="M67" i="90"/>
  <c r="N67" i="90"/>
  <c r="O67" i="90"/>
  <c r="P67" i="90"/>
  <c r="Q67" i="90"/>
  <c r="R67" i="90"/>
  <c r="S67" i="90"/>
  <c r="T67" i="90"/>
  <c r="U67" i="90"/>
  <c r="V67" i="90"/>
  <c r="W67" i="90"/>
  <c r="X67" i="90"/>
  <c r="Y67" i="90"/>
  <c r="Z67" i="90"/>
  <c r="AA67" i="90"/>
  <c r="AB67" i="90"/>
  <c r="AC67" i="90"/>
  <c r="F68" i="90"/>
  <c r="G68" i="90"/>
  <c r="H68" i="90"/>
  <c r="I68" i="90"/>
  <c r="J68" i="90"/>
  <c r="K68" i="90"/>
  <c r="L68" i="90"/>
  <c r="M68" i="90"/>
  <c r="N68" i="90"/>
  <c r="O68" i="90"/>
  <c r="P68" i="90"/>
  <c r="Q68" i="90"/>
  <c r="R68" i="90"/>
  <c r="S68" i="90"/>
  <c r="T68" i="90"/>
  <c r="U68" i="90"/>
  <c r="V68" i="90"/>
  <c r="W68" i="90"/>
  <c r="X68" i="90"/>
  <c r="Y68" i="90"/>
  <c r="Z68" i="90"/>
  <c r="AA68" i="90"/>
  <c r="AB68" i="90"/>
  <c r="AC68" i="90"/>
  <c r="F69" i="90"/>
  <c r="G69" i="90"/>
  <c r="H69" i="90"/>
  <c r="I69" i="90"/>
  <c r="J69" i="90"/>
  <c r="K69" i="90"/>
  <c r="L69" i="90"/>
  <c r="M69" i="90"/>
  <c r="N69" i="90"/>
  <c r="O69" i="90"/>
  <c r="P69" i="90"/>
  <c r="Q69" i="90"/>
  <c r="R69" i="90"/>
  <c r="S69" i="90"/>
  <c r="T69" i="90"/>
  <c r="U69" i="90"/>
  <c r="V69" i="90"/>
  <c r="W69" i="90"/>
  <c r="X69" i="90"/>
  <c r="Y69" i="90"/>
  <c r="Z69" i="90"/>
  <c r="AA69" i="90"/>
  <c r="AB69" i="90"/>
  <c r="AC69" i="90"/>
  <c r="F70" i="90"/>
  <c r="G70" i="90"/>
  <c r="H70" i="90"/>
  <c r="I70" i="90"/>
  <c r="J70" i="90"/>
  <c r="K70" i="90"/>
  <c r="L70" i="90"/>
  <c r="M70" i="90"/>
  <c r="N70" i="90"/>
  <c r="O70" i="90"/>
  <c r="P70" i="90"/>
  <c r="Q70" i="90"/>
  <c r="R70" i="90"/>
  <c r="S70" i="90"/>
  <c r="T70" i="90"/>
  <c r="U70" i="90"/>
  <c r="V70" i="90"/>
  <c r="W70" i="90"/>
  <c r="X70" i="90"/>
  <c r="Y70" i="90"/>
  <c r="Z70" i="90"/>
  <c r="AA70" i="90"/>
  <c r="AB70" i="90"/>
  <c r="AC70" i="90"/>
  <c r="F71" i="90"/>
  <c r="G71" i="90"/>
  <c r="H71" i="90"/>
  <c r="I71" i="90"/>
  <c r="J71" i="90"/>
  <c r="K71" i="90"/>
  <c r="L71" i="90"/>
  <c r="M71" i="90"/>
  <c r="N71" i="90"/>
  <c r="O71" i="90"/>
  <c r="P71" i="90"/>
  <c r="Q71" i="90"/>
  <c r="R71" i="90"/>
  <c r="S71" i="90"/>
  <c r="T71" i="90"/>
  <c r="U71" i="90"/>
  <c r="V71" i="90"/>
  <c r="W71" i="90"/>
  <c r="X71" i="90"/>
  <c r="Y71" i="90"/>
  <c r="Z71" i="90"/>
  <c r="AA71" i="90"/>
  <c r="AB71" i="90"/>
  <c r="AC71" i="90"/>
  <c r="F72" i="90"/>
  <c r="G72" i="90"/>
  <c r="H72" i="90"/>
  <c r="I72" i="90"/>
  <c r="J72" i="90"/>
  <c r="K72" i="90"/>
  <c r="L72" i="90"/>
  <c r="M72" i="90"/>
  <c r="N72" i="90"/>
  <c r="O72" i="90"/>
  <c r="P72" i="90"/>
  <c r="Q72" i="90"/>
  <c r="R72" i="90"/>
  <c r="S72" i="90"/>
  <c r="T72" i="90"/>
  <c r="U72" i="90"/>
  <c r="V72" i="90"/>
  <c r="W72" i="90"/>
  <c r="X72" i="90"/>
  <c r="Y72" i="90"/>
  <c r="Z72" i="90"/>
  <c r="AA72" i="90"/>
  <c r="AB72" i="90"/>
  <c r="AC72" i="90"/>
  <c r="F73" i="90"/>
  <c r="G73" i="90"/>
  <c r="H73" i="90"/>
  <c r="I73" i="90"/>
  <c r="J73" i="90"/>
  <c r="K73" i="90"/>
  <c r="L73" i="90"/>
  <c r="M73" i="90"/>
  <c r="N73" i="90"/>
  <c r="O73" i="90"/>
  <c r="P73" i="90"/>
  <c r="Q73" i="90"/>
  <c r="R73" i="90"/>
  <c r="S73" i="90"/>
  <c r="T73" i="90"/>
  <c r="U73" i="90"/>
  <c r="V73" i="90"/>
  <c r="W73" i="90"/>
  <c r="X73" i="90"/>
  <c r="Y73" i="90"/>
  <c r="Z73" i="90"/>
  <c r="AA73" i="90"/>
  <c r="AB73" i="90"/>
  <c r="AC73" i="90"/>
  <c r="F74" i="90"/>
  <c r="G74" i="90"/>
  <c r="H74" i="90"/>
  <c r="I74" i="90"/>
  <c r="J74" i="90"/>
  <c r="K74" i="90"/>
  <c r="L74" i="90"/>
  <c r="M74" i="90"/>
  <c r="N74" i="90"/>
  <c r="O74" i="90"/>
  <c r="P74" i="90"/>
  <c r="Q74" i="90"/>
  <c r="R74" i="90"/>
  <c r="S74" i="90"/>
  <c r="T74" i="90"/>
  <c r="U74" i="90"/>
  <c r="V74" i="90"/>
  <c r="W74" i="90"/>
  <c r="X74" i="90"/>
  <c r="Y74" i="90"/>
  <c r="Z74" i="90"/>
  <c r="AA74" i="90"/>
  <c r="AB74" i="90"/>
  <c r="AC74" i="90"/>
  <c r="F75" i="90"/>
  <c r="G75" i="90"/>
  <c r="H75" i="90"/>
  <c r="I75" i="90"/>
  <c r="J75" i="90"/>
  <c r="K75" i="90"/>
  <c r="L75" i="90"/>
  <c r="M75" i="90"/>
  <c r="N75" i="90"/>
  <c r="O75" i="90"/>
  <c r="P75" i="90"/>
  <c r="Q75" i="90"/>
  <c r="R75" i="90"/>
  <c r="S75" i="90"/>
  <c r="T75" i="90"/>
  <c r="U75" i="90"/>
  <c r="V75" i="90"/>
  <c r="W75" i="90"/>
  <c r="X75" i="90"/>
  <c r="Y75" i="90"/>
  <c r="Z75" i="90"/>
  <c r="AA75" i="90"/>
  <c r="AB75" i="90"/>
  <c r="AC75" i="90"/>
  <c r="E74" i="90"/>
  <c r="E75" i="90"/>
  <c r="E73" i="90"/>
  <c r="E53" i="90"/>
  <c r="E54" i="90"/>
  <c r="E55" i="90"/>
  <c r="E56" i="90"/>
  <c r="E57" i="90"/>
  <c r="E58" i="90"/>
  <c r="E59" i="90"/>
  <c r="E60" i="90"/>
  <c r="E61" i="90"/>
  <c r="E62" i="90"/>
  <c r="E63" i="90"/>
  <c r="E64" i="90"/>
  <c r="E65" i="90"/>
  <c r="E66" i="90"/>
  <c r="E67" i="90"/>
  <c r="E68" i="90"/>
  <c r="E69" i="90"/>
  <c r="E70" i="90"/>
  <c r="E71" i="90"/>
  <c r="E72" i="90"/>
  <c r="E52" i="90"/>
  <c r="E77" i="90" s="1"/>
  <c r="E50" i="90"/>
  <c r="E51" i="90"/>
  <c r="E49" i="90"/>
  <c r="BC112" i="90" l="1"/>
  <c r="W77" i="90"/>
  <c r="O77" i="90"/>
  <c r="G77" i="90"/>
  <c r="H77" i="90"/>
  <c r="V77" i="90"/>
  <c r="N77" i="90"/>
  <c r="F77" i="90"/>
  <c r="AC77" i="90"/>
  <c r="U77" i="90"/>
  <c r="M77" i="90"/>
  <c r="AB77" i="90"/>
  <c r="T77" i="90"/>
  <c r="L77" i="90"/>
  <c r="X77" i="90"/>
  <c r="AA77" i="90"/>
  <c r="S77" i="90"/>
  <c r="K77" i="90"/>
  <c r="Z77" i="90"/>
  <c r="R77" i="90"/>
  <c r="J77" i="90"/>
  <c r="P77" i="90"/>
  <c r="Y77" i="90"/>
  <c r="Q77" i="90"/>
  <c r="I77" i="90"/>
  <c r="AC112" i="90"/>
  <c r="AB112" i="90"/>
  <c r="T112" i="90"/>
  <c r="L112" i="90"/>
  <c r="AA112" i="90"/>
  <c r="S112" i="90"/>
  <c r="K112" i="90"/>
  <c r="Z112" i="90"/>
  <c r="R112" i="90"/>
  <c r="J112" i="90"/>
  <c r="Y112" i="90"/>
  <c r="Q112" i="90"/>
  <c r="I112" i="90"/>
  <c r="U112" i="90"/>
  <c r="X112" i="90"/>
  <c r="P112" i="90"/>
  <c r="H112" i="90"/>
  <c r="W112" i="90"/>
  <c r="O112" i="90"/>
  <c r="G112" i="90"/>
  <c r="M112" i="90"/>
  <c r="V112" i="90"/>
  <c r="N112" i="90"/>
  <c r="F112" i="90"/>
  <c r="AP112" i="90"/>
  <c r="AW112" i="90"/>
  <c r="AO112" i="90"/>
  <c r="AG112" i="90"/>
  <c r="AH112" i="90"/>
  <c r="AV112" i="90"/>
  <c r="AN112" i="90"/>
  <c r="AF112" i="90"/>
  <c r="AU112" i="90"/>
  <c r="AM112" i="90"/>
  <c r="AE112" i="90"/>
  <c r="AX112" i="90"/>
  <c r="AT112" i="90"/>
  <c r="AL112" i="90"/>
  <c r="AS112" i="90"/>
  <c r="AK112" i="90"/>
  <c r="BB112" i="90"/>
  <c r="AZ112" i="90"/>
  <c r="AR112" i="90"/>
  <c r="AJ112" i="90"/>
  <c r="BA112" i="90"/>
  <c r="AY112" i="90"/>
  <c r="AQ112" i="90"/>
  <c r="AI112" i="90"/>
  <c r="BS112" i="90"/>
  <c r="BK112" i="90"/>
  <c r="BZ112" i="90"/>
  <c r="BR112" i="90"/>
  <c r="BJ112" i="90"/>
  <c r="BY112" i="90"/>
  <c r="BQ112" i="90"/>
  <c r="BI112" i="90"/>
  <c r="BX112" i="90"/>
  <c r="BP112" i="90"/>
  <c r="BH112" i="90"/>
  <c r="BW112" i="90"/>
  <c r="BO112" i="90"/>
  <c r="BG112" i="90"/>
  <c r="BV112" i="90"/>
  <c r="BN112" i="90"/>
  <c r="BF112" i="90"/>
  <c r="BU112" i="90"/>
  <c r="BM112" i="90"/>
  <c r="BE112" i="90"/>
  <c r="BT112" i="90"/>
  <c r="BL112" i="90"/>
  <c r="BD112" i="90"/>
  <c r="AZ113" i="90"/>
  <c r="BX113" i="90"/>
  <c r="E78" i="90"/>
  <c r="M113" i="90"/>
  <c r="AJ113" i="90"/>
  <c r="BP113" i="90"/>
  <c r="AR113" i="90"/>
  <c r="BH113" i="90"/>
  <c r="W78" i="90"/>
  <c r="O78" i="90"/>
  <c r="G78" i="90"/>
  <c r="AB113" i="90"/>
  <c r="T113" i="90"/>
  <c r="L113" i="90"/>
  <c r="AD113" i="90"/>
  <c r="AY113" i="90"/>
  <c r="AQ113" i="90"/>
  <c r="AI113" i="90"/>
  <c r="BW113" i="90"/>
  <c r="BO113" i="90"/>
  <c r="BG113" i="90"/>
  <c r="V78" i="90"/>
  <c r="F78" i="90"/>
  <c r="AA113" i="90"/>
  <c r="S113" i="90"/>
  <c r="K113" i="90"/>
  <c r="AX113" i="90"/>
  <c r="AP113" i="90"/>
  <c r="AH113" i="90"/>
  <c r="BV113" i="90"/>
  <c r="BN113" i="90"/>
  <c r="BF113" i="90"/>
  <c r="P78" i="90"/>
  <c r="N78" i="90"/>
  <c r="AC78" i="90"/>
  <c r="U78" i="90"/>
  <c r="M78" i="90"/>
  <c r="Z113" i="90"/>
  <c r="R113" i="90"/>
  <c r="J113" i="90"/>
  <c r="AW113" i="90"/>
  <c r="AO113" i="90"/>
  <c r="AG113" i="90"/>
  <c r="BB113" i="90"/>
  <c r="BU113" i="90"/>
  <c r="BM113" i="90"/>
  <c r="BE113" i="90"/>
  <c r="U113" i="90"/>
  <c r="AB78" i="90"/>
  <c r="T78" i="90"/>
  <c r="L78" i="90"/>
  <c r="Y113" i="90"/>
  <c r="Q113" i="90"/>
  <c r="I113" i="90"/>
  <c r="AV113" i="90"/>
  <c r="AN113" i="90"/>
  <c r="AF113" i="90"/>
  <c r="BC113" i="90"/>
  <c r="BA113" i="90"/>
  <c r="BT113" i="90"/>
  <c r="BL113" i="90"/>
  <c r="BD113" i="90"/>
  <c r="AC113" i="90"/>
  <c r="AA78" i="90"/>
  <c r="E113" i="90"/>
  <c r="X113" i="90"/>
  <c r="P113" i="90"/>
  <c r="H113" i="90"/>
  <c r="AU113" i="90"/>
  <c r="AM113" i="90"/>
  <c r="AE113" i="90"/>
  <c r="BS113" i="90"/>
  <c r="BK113" i="90"/>
  <c r="H78" i="90"/>
  <c r="K78" i="90"/>
  <c r="Z78" i="90"/>
  <c r="R78" i="90"/>
  <c r="J78" i="90"/>
  <c r="W113" i="90"/>
  <c r="O113" i="90"/>
  <c r="G113" i="90"/>
  <c r="AT113" i="90"/>
  <c r="AL113" i="90"/>
  <c r="BZ113" i="90"/>
  <c r="BR113" i="90"/>
  <c r="BJ113" i="90"/>
  <c r="CA113" i="90"/>
  <c r="X78" i="90"/>
  <c r="S78" i="90"/>
  <c r="Y78" i="90"/>
  <c r="Q78" i="90"/>
  <c r="I78" i="90"/>
  <c r="V113" i="90"/>
  <c r="N113" i="90"/>
  <c r="F113" i="90"/>
  <c r="AS113" i="90"/>
  <c r="AK113" i="90"/>
  <c r="BY113" i="90"/>
  <c r="BQ113" i="90"/>
  <c r="BI113" i="90"/>
  <c r="CA111" i="90"/>
  <c r="BC111" i="90"/>
  <c r="Q79" i="90"/>
  <c r="Q80" i="90" s="1"/>
  <c r="Y79" i="90"/>
  <c r="Y80" i="90" s="1"/>
  <c r="L114" i="90"/>
  <c r="L115" i="90" s="1"/>
  <c r="BY111" i="90"/>
  <c r="I79" i="90"/>
  <c r="I80" i="90" s="1"/>
  <c r="BX111" i="90"/>
  <c r="N114" i="90"/>
  <c r="N115" i="90" s="1"/>
  <c r="BK114" i="90"/>
  <c r="H79" i="90"/>
  <c r="H80" i="90" s="1"/>
  <c r="BZ114" i="90"/>
  <c r="BZ115" i="90" s="1"/>
  <c r="BZ111" i="90"/>
  <c r="O79" i="90"/>
  <c r="O80" i="90" s="1"/>
  <c r="AU114" i="90"/>
  <c r="AU115" i="90" s="1"/>
  <c r="AK79" i="90"/>
  <c r="AK80" i="90" s="1"/>
  <c r="AA114" i="90"/>
  <c r="AA115" i="90" s="1"/>
  <c r="AD114" i="90"/>
  <c r="AD115" i="90" s="1"/>
  <c r="AT114" i="90"/>
  <c r="AT115" i="90" s="1"/>
  <c r="AL114" i="90"/>
  <c r="AL115" i="90" s="1"/>
  <c r="V114" i="90"/>
  <c r="V115" i="90" s="1"/>
  <c r="P79" i="90"/>
  <c r="P80" i="90" s="1"/>
  <c r="BJ114" i="90"/>
  <c r="AE79" i="90"/>
  <c r="AE80" i="90" s="1"/>
  <c r="G79" i="90"/>
  <c r="AM114" i="90"/>
  <c r="AM115" i="90" s="1"/>
  <c r="N79" i="90"/>
  <c r="N80" i="90" s="1"/>
  <c r="K114" i="90"/>
  <c r="K115" i="90" s="1"/>
  <c r="U79" i="90"/>
  <c r="U80" i="90" s="1"/>
  <c r="Z114" i="90"/>
  <c r="Z115" i="90" s="1"/>
  <c r="R114" i="90"/>
  <c r="R115" i="90" s="1"/>
  <c r="BW114" i="90"/>
  <c r="BW115" i="90" s="1"/>
  <c r="BG114" i="90"/>
  <c r="AB79" i="90"/>
  <c r="AB80" i="90" s="1"/>
  <c r="T79" i="90"/>
  <c r="T80" i="90" s="1"/>
  <c r="BV114" i="90"/>
  <c r="BV115" i="90" s="1"/>
  <c r="BF114" i="90"/>
  <c r="AA79" i="90"/>
  <c r="AA80" i="90" s="1"/>
  <c r="S79" i="90"/>
  <c r="S80" i="90" s="1"/>
  <c r="K79" i="90"/>
  <c r="K80" i="90" s="1"/>
  <c r="AY114" i="90"/>
  <c r="AY115" i="90" s="1"/>
  <c r="AQ114" i="90"/>
  <c r="AQ115" i="90" s="1"/>
  <c r="AI114" i="90"/>
  <c r="AI115" i="90" s="1"/>
  <c r="BC114" i="90"/>
  <c r="F114" i="90"/>
  <c r="F115" i="90" s="1"/>
  <c r="BB114" i="90"/>
  <c r="BB115" i="90" s="1"/>
  <c r="BS114" i="90"/>
  <c r="BS115" i="90" s="1"/>
  <c r="X79" i="90"/>
  <c r="X80" i="90" s="1"/>
  <c r="BR114" i="90"/>
  <c r="BR115" i="90" s="1"/>
  <c r="W79" i="90"/>
  <c r="W80" i="90" s="1"/>
  <c r="AE114" i="90"/>
  <c r="AE115" i="90" s="1"/>
  <c r="V79" i="90"/>
  <c r="V80" i="90" s="1"/>
  <c r="S114" i="90"/>
  <c r="S115" i="90" s="1"/>
  <c r="AC79" i="90"/>
  <c r="AC80" i="90" s="1"/>
  <c r="M79" i="90"/>
  <c r="M80" i="90" s="1"/>
  <c r="J114" i="90"/>
  <c r="J115" i="90" s="1"/>
  <c r="BO114" i="90"/>
  <c r="L79" i="90"/>
  <c r="L80" i="90" s="1"/>
  <c r="BA111" i="90"/>
  <c r="BN114" i="90"/>
  <c r="CA114" i="90"/>
  <c r="CA115" i="90" s="1"/>
  <c r="Z79" i="90"/>
  <c r="Z80" i="90" s="1"/>
  <c r="R79" i="90"/>
  <c r="R80" i="90" s="1"/>
  <c r="J79" i="90"/>
  <c r="J80" i="90" s="1"/>
  <c r="W114" i="90"/>
  <c r="W115" i="90" s="1"/>
  <c r="O114" i="90"/>
  <c r="O115" i="90" s="1"/>
  <c r="M114" i="90"/>
  <c r="M115" i="90" s="1"/>
  <c r="AX114" i="90"/>
  <c r="AX115" i="90" s="1"/>
  <c r="AP114" i="90"/>
  <c r="AP115" i="90" s="1"/>
  <c r="AH114" i="90"/>
  <c r="AH115" i="90" s="1"/>
  <c r="BR79" i="90"/>
  <c r="BR80" i="90" s="1"/>
  <c r="BJ79" i="90"/>
  <c r="BJ80" i="90" s="1"/>
  <c r="BB79" i="90"/>
  <c r="BB80" i="90" s="1"/>
  <c r="AT79" i="90"/>
  <c r="AT80" i="90" s="1"/>
  <c r="AL79" i="90"/>
  <c r="AL80" i="90" s="1"/>
  <c r="AD79" i="90"/>
  <c r="AD80" i="90" s="1"/>
  <c r="F79" i="90"/>
  <c r="BU114" i="90"/>
  <c r="BU115" i="90" s="1"/>
  <c r="BM114" i="90"/>
  <c r="BE114" i="90"/>
  <c r="AW114" i="90"/>
  <c r="AW115" i="90" s="1"/>
  <c r="AO114" i="90"/>
  <c r="AO115" i="90" s="1"/>
  <c r="AG114" i="90"/>
  <c r="AG115" i="90" s="1"/>
  <c r="AC114" i="90"/>
  <c r="AC115" i="90" s="1"/>
  <c r="U114" i="90"/>
  <c r="U115" i="90" s="1"/>
  <c r="Q114" i="90"/>
  <c r="Q115" i="90" s="1"/>
  <c r="I114" i="90"/>
  <c r="I115" i="90" s="1"/>
  <c r="BQ79" i="90"/>
  <c r="BQ80" i="90" s="1"/>
  <c r="BI79" i="90"/>
  <c r="BI80" i="90" s="1"/>
  <c r="BA79" i="90"/>
  <c r="BA80" i="90" s="1"/>
  <c r="AO79" i="90"/>
  <c r="AO80" i="90" s="1"/>
  <c r="AG79" i="90"/>
  <c r="AG80" i="90" s="1"/>
  <c r="E114" i="90"/>
  <c r="E115" i="90" s="1"/>
  <c r="BX114" i="90"/>
  <c r="BX115" i="90" s="1"/>
  <c r="BP114" i="90"/>
  <c r="BL114" i="90"/>
  <c r="BH114" i="90"/>
  <c r="BD114" i="90"/>
  <c r="AZ114" i="90"/>
  <c r="AZ115" i="90" s="1"/>
  <c r="AV114" i="90"/>
  <c r="AV115" i="90" s="1"/>
  <c r="AR114" i="90"/>
  <c r="AR115" i="90" s="1"/>
  <c r="AN114" i="90"/>
  <c r="AN115" i="90" s="1"/>
  <c r="AJ114" i="90"/>
  <c r="AJ115" i="90" s="1"/>
  <c r="AF114" i="90"/>
  <c r="AF115" i="90" s="1"/>
  <c r="AB114" i="90"/>
  <c r="AB115" i="90" s="1"/>
  <c r="X114" i="90"/>
  <c r="X115" i="90" s="1"/>
  <c r="T114" i="90"/>
  <c r="T115" i="90" s="1"/>
  <c r="P114" i="90"/>
  <c r="P115" i="90" s="1"/>
  <c r="H114" i="90"/>
  <c r="H115" i="90" s="1"/>
  <c r="BT79" i="90"/>
  <c r="BT80" i="90" s="1"/>
  <c r="BP79" i="90"/>
  <c r="BP80" i="90" s="1"/>
  <c r="BL79" i="90"/>
  <c r="BL80" i="90" s="1"/>
  <c r="BH79" i="90"/>
  <c r="BH80" i="90" s="1"/>
  <c r="BD79" i="90"/>
  <c r="BD80" i="90" s="1"/>
  <c r="AZ79" i="90"/>
  <c r="AZ80" i="90" s="1"/>
  <c r="AV79" i="90"/>
  <c r="AV80" i="90" s="1"/>
  <c r="AR79" i="90"/>
  <c r="AR80" i="90" s="1"/>
  <c r="AN79" i="90"/>
  <c r="AN80" i="90" s="1"/>
  <c r="AJ79" i="90"/>
  <c r="AJ80" i="90" s="1"/>
  <c r="AF79" i="90"/>
  <c r="AF80" i="90" s="1"/>
  <c r="G114" i="90"/>
  <c r="G115" i="90" s="1"/>
  <c r="BV79" i="90"/>
  <c r="BV80" i="90" s="1"/>
  <c r="BN79" i="90"/>
  <c r="BN80" i="90" s="1"/>
  <c r="BF79" i="90"/>
  <c r="BF80" i="90" s="1"/>
  <c r="AX79" i="90"/>
  <c r="AX80" i="90" s="1"/>
  <c r="AP79" i="90"/>
  <c r="AP80" i="90" s="1"/>
  <c r="AH79" i="90"/>
  <c r="AH80" i="90" s="1"/>
  <c r="BY114" i="90"/>
  <c r="BY115" i="90" s="1"/>
  <c r="BQ114" i="90"/>
  <c r="BQ115" i="90" s="1"/>
  <c r="BI114" i="90"/>
  <c r="BA114" i="90"/>
  <c r="BA115" i="90" s="1"/>
  <c r="AS114" i="90"/>
  <c r="AS115" i="90" s="1"/>
  <c r="AK114" i="90"/>
  <c r="AK115" i="90" s="1"/>
  <c r="Y114" i="90"/>
  <c r="Y115" i="90" s="1"/>
  <c r="BU79" i="90"/>
  <c r="BU80" i="90" s="1"/>
  <c r="BM79" i="90"/>
  <c r="BM80" i="90" s="1"/>
  <c r="BE79" i="90"/>
  <c r="BE80" i="90" s="1"/>
  <c r="AW79" i="90"/>
  <c r="AW80" i="90" s="1"/>
  <c r="AS79" i="90"/>
  <c r="AS80" i="90" s="1"/>
  <c r="BT114" i="90"/>
  <c r="BT115" i="90" s="1"/>
  <c r="E79" i="90"/>
  <c r="BW79" i="90"/>
  <c r="BW80" i="90" s="1"/>
  <c r="BS79" i="90"/>
  <c r="BS80" i="90" s="1"/>
  <c r="BO79" i="90"/>
  <c r="BO80" i="90" s="1"/>
  <c r="BK79" i="90"/>
  <c r="BK80" i="90" s="1"/>
  <c r="BG79" i="90"/>
  <c r="BG80" i="90" s="1"/>
  <c r="BC79" i="90"/>
  <c r="BC80" i="90" s="1"/>
  <c r="AY79" i="90"/>
  <c r="AY80" i="90" s="1"/>
  <c r="AU79" i="90"/>
  <c r="AU80" i="90" s="1"/>
  <c r="AQ79" i="90"/>
  <c r="AQ80" i="90" s="1"/>
  <c r="AM79" i="90"/>
  <c r="AM80" i="90" s="1"/>
  <c r="AI79" i="90"/>
  <c r="AI80" i="90" s="1"/>
  <c r="F37" i="90"/>
  <c r="G37" i="90"/>
  <c r="H37" i="90"/>
  <c r="I37" i="90"/>
  <c r="J37" i="90"/>
  <c r="K37" i="90"/>
  <c r="L37" i="90"/>
  <c r="M37" i="90"/>
  <c r="N37" i="90"/>
  <c r="O37" i="90"/>
  <c r="P37" i="90"/>
  <c r="Q37" i="90"/>
  <c r="R37" i="90"/>
  <c r="S37" i="90"/>
  <c r="T37" i="90"/>
  <c r="U37" i="90"/>
  <c r="V37" i="90"/>
  <c r="W37" i="90"/>
  <c r="X37" i="90"/>
  <c r="Y37" i="90"/>
  <c r="Z37" i="90"/>
  <c r="AA37" i="90"/>
  <c r="AB37" i="90"/>
  <c r="AC37" i="90"/>
  <c r="F38" i="90"/>
  <c r="G38" i="90"/>
  <c r="H38" i="90"/>
  <c r="I38" i="90"/>
  <c r="J38" i="90"/>
  <c r="K38" i="90"/>
  <c r="L38" i="90"/>
  <c r="M38" i="90"/>
  <c r="N38" i="90"/>
  <c r="O38" i="90"/>
  <c r="P38" i="90"/>
  <c r="Q38" i="90"/>
  <c r="R38" i="90"/>
  <c r="S38" i="90"/>
  <c r="T38" i="90"/>
  <c r="U38" i="90"/>
  <c r="V38" i="90"/>
  <c r="W38" i="90"/>
  <c r="X38" i="90"/>
  <c r="Y38" i="90"/>
  <c r="Z38" i="90"/>
  <c r="AA38" i="90"/>
  <c r="AB38" i="90"/>
  <c r="AC38" i="90"/>
  <c r="F39" i="90"/>
  <c r="G39" i="90"/>
  <c r="H39" i="90"/>
  <c r="I39" i="90"/>
  <c r="J39" i="90"/>
  <c r="K39" i="90"/>
  <c r="L39" i="90"/>
  <c r="M39" i="90"/>
  <c r="N39" i="90"/>
  <c r="O39" i="90"/>
  <c r="P39" i="90"/>
  <c r="Q39" i="90"/>
  <c r="R39" i="90"/>
  <c r="S39" i="90"/>
  <c r="T39" i="90"/>
  <c r="U39" i="90"/>
  <c r="V39" i="90"/>
  <c r="W39" i="90"/>
  <c r="X39" i="90"/>
  <c r="Y39" i="90"/>
  <c r="Z39" i="90"/>
  <c r="AA39" i="90"/>
  <c r="AB39" i="90"/>
  <c r="AC39" i="90"/>
  <c r="E39" i="90"/>
  <c r="E38" i="90"/>
  <c r="E37" i="90"/>
  <c r="Y43" i="90" l="1"/>
  <c r="Q43" i="90"/>
  <c r="I43" i="90"/>
  <c r="X43" i="90"/>
  <c r="X44" i="90" s="1"/>
  <c r="P43" i="90"/>
  <c r="W43" i="90"/>
  <c r="W44" i="90" s="1"/>
  <c r="O43" i="90"/>
  <c r="G43" i="90"/>
  <c r="H43" i="90"/>
  <c r="AD43" i="90"/>
  <c r="AD44" i="90" s="1"/>
  <c r="AL43" i="90"/>
  <c r="AL44" i="90" s="1"/>
  <c r="AT43" i="90"/>
  <c r="AT44" i="90" s="1"/>
  <c r="BB43" i="90"/>
  <c r="BB44" i="90" s="1"/>
  <c r="BJ43" i="90"/>
  <c r="BJ44" i="90" s="1"/>
  <c r="BR43" i="90"/>
  <c r="BR44" i="90" s="1"/>
  <c r="AE43" i="90"/>
  <c r="AE44" i="90" s="1"/>
  <c r="AM43" i="90"/>
  <c r="AU43" i="90"/>
  <c r="AU44" i="90" s="1"/>
  <c r="BC43" i="90"/>
  <c r="BC44" i="90" s="1"/>
  <c r="BK43" i="90"/>
  <c r="BK44" i="90" s="1"/>
  <c r="BS43" i="90"/>
  <c r="BS44" i="90" s="1"/>
  <c r="AH43" i="90"/>
  <c r="AH44" i="90" s="1"/>
  <c r="BF43" i="90"/>
  <c r="BF44" i="90" s="1"/>
  <c r="BV43" i="90"/>
  <c r="BV44" i="90" s="1"/>
  <c r="AQ43" i="90"/>
  <c r="BG43" i="90"/>
  <c r="BG44" i="90" s="1"/>
  <c r="BW43" i="90"/>
  <c r="BW44" i="90" s="1"/>
  <c r="AJ43" i="90"/>
  <c r="AJ44" i="90" s="1"/>
  <c r="AR43" i="90"/>
  <c r="AR44" i="90" s="1"/>
  <c r="BH43" i="90"/>
  <c r="BH44" i="90" s="1"/>
  <c r="E43" i="90"/>
  <c r="AS43" i="90"/>
  <c r="AS44" i="90" s="1"/>
  <c r="BI43" i="90"/>
  <c r="AF43" i="90"/>
  <c r="AN43" i="90"/>
  <c r="AN44" i="90" s="1"/>
  <c r="AV43" i="90"/>
  <c r="AV44" i="90" s="1"/>
  <c r="BD43" i="90"/>
  <c r="BD44" i="90" s="1"/>
  <c r="BL43" i="90"/>
  <c r="BL44" i="90" s="1"/>
  <c r="BT43" i="90"/>
  <c r="BT44" i="90" s="1"/>
  <c r="BM43" i="90"/>
  <c r="BM44" i="90" s="1"/>
  <c r="AP43" i="90"/>
  <c r="AX43" i="90"/>
  <c r="BN43" i="90"/>
  <c r="BN44" i="90" s="1"/>
  <c r="AI43" i="90"/>
  <c r="AI44" i="90" s="1"/>
  <c r="AY43" i="90"/>
  <c r="AY44" i="90" s="1"/>
  <c r="BO43" i="90"/>
  <c r="BO44" i="90" s="1"/>
  <c r="AZ43" i="90"/>
  <c r="AZ44" i="90" s="1"/>
  <c r="BP43" i="90"/>
  <c r="BP44" i="90" s="1"/>
  <c r="AK43" i="90"/>
  <c r="BA43" i="90"/>
  <c r="BA44" i="90" s="1"/>
  <c r="BQ43" i="90"/>
  <c r="BQ44" i="90" s="1"/>
  <c r="AG43" i="90"/>
  <c r="AG44" i="90" s="1"/>
  <c r="AO43" i="90"/>
  <c r="AO44" i="90" s="1"/>
  <c r="AW43" i="90"/>
  <c r="AW44" i="90" s="1"/>
  <c r="BE43" i="90"/>
  <c r="BE44" i="90" s="1"/>
  <c r="BU43" i="90"/>
  <c r="BU44" i="90" s="1"/>
  <c r="V43" i="90"/>
  <c r="N43" i="90"/>
  <c r="F43" i="90"/>
  <c r="AC43" i="90"/>
  <c r="AC44" i="90" s="1"/>
  <c r="M43" i="90"/>
  <c r="T43" i="90"/>
  <c r="T44" i="90" s="1"/>
  <c r="AA43" i="90"/>
  <c r="AA44" i="90" s="1"/>
  <c r="S43" i="90"/>
  <c r="S44" i="90" s="1"/>
  <c r="K43" i="90"/>
  <c r="U43" i="90"/>
  <c r="U44" i="90" s="1"/>
  <c r="AB43" i="90"/>
  <c r="AB44" i="90" s="1"/>
  <c r="L43" i="90"/>
  <c r="Z43" i="90"/>
  <c r="Z44" i="90" s="1"/>
  <c r="R43" i="90"/>
  <c r="R44" i="90" s="1"/>
  <c r="J43" i="90"/>
  <c r="BI44" i="90"/>
  <c r="AK44" i="90"/>
  <c r="AM44" i="90"/>
  <c r="V44" i="90"/>
  <c r="AQ44" i="90"/>
  <c r="AX44" i="90"/>
  <c r="AP44" i="90"/>
  <c r="Y44" i="90"/>
  <c r="AF44" i="90"/>
  <c r="G234" i="8"/>
  <c r="H234" i="8"/>
  <c r="I234" i="8"/>
  <c r="J234" i="8"/>
  <c r="K234" i="8"/>
  <c r="L234" i="8"/>
  <c r="M234" i="8"/>
  <c r="N234" i="8"/>
  <c r="O234" i="8"/>
  <c r="P234" i="8"/>
  <c r="G235" i="8"/>
  <c r="H235" i="8"/>
  <c r="I235" i="8"/>
  <c r="J235" i="8"/>
  <c r="K235" i="8"/>
  <c r="L235" i="8"/>
  <c r="M235" i="8"/>
  <c r="N235" i="8"/>
  <c r="O235" i="8"/>
  <c r="P235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G98" i="8"/>
  <c r="G99" i="8"/>
  <c r="H98" i="8"/>
  <c r="I98" i="8"/>
  <c r="J98" i="8"/>
  <c r="K98" i="8"/>
  <c r="L98" i="8"/>
  <c r="M98" i="8"/>
  <c r="N98" i="8"/>
  <c r="O98" i="8"/>
  <c r="P98" i="8"/>
  <c r="H99" i="8"/>
  <c r="I99" i="8"/>
  <c r="J99" i="8"/>
  <c r="K99" i="8"/>
  <c r="L99" i="8"/>
  <c r="M99" i="8"/>
  <c r="N99" i="8"/>
  <c r="O99" i="8"/>
  <c r="P99" i="8"/>
  <c r="G132" i="8"/>
  <c r="H132" i="8"/>
  <c r="I132" i="8"/>
  <c r="J132" i="8"/>
  <c r="K132" i="8"/>
  <c r="L132" i="8"/>
  <c r="M132" i="8"/>
  <c r="N132" i="8"/>
  <c r="O132" i="8"/>
  <c r="P132" i="8"/>
  <c r="G133" i="8"/>
  <c r="H133" i="8"/>
  <c r="I133" i="8"/>
  <c r="J133" i="8"/>
  <c r="K133" i="8"/>
  <c r="L133" i="8"/>
  <c r="M133" i="8"/>
  <c r="N133" i="8"/>
  <c r="O133" i="8"/>
  <c r="P133" i="8"/>
  <c r="G166" i="8"/>
  <c r="H166" i="8"/>
  <c r="I166" i="8"/>
  <c r="J166" i="8"/>
  <c r="K166" i="8"/>
  <c r="L166" i="8"/>
  <c r="M166" i="8"/>
  <c r="N166" i="8"/>
  <c r="O166" i="8"/>
  <c r="P166" i="8"/>
  <c r="G167" i="8"/>
  <c r="H167" i="8"/>
  <c r="I167" i="8"/>
  <c r="J167" i="8"/>
  <c r="K167" i="8"/>
  <c r="L167" i="8"/>
  <c r="M167" i="8"/>
  <c r="N167" i="8"/>
  <c r="O167" i="8"/>
  <c r="P167" i="8"/>
  <c r="G30" i="8"/>
  <c r="G31" i="8"/>
  <c r="F12" i="90" l="1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Z12" i="90"/>
  <c r="AA12" i="90"/>
  <c r="AB12" i="90"/>
  <c r="AC12" i="90"/>
  <c r="AD12" i="90"/>
  <c r="AE12" i="90"/>
  <c r="AF12" i="90"/>
  <c r="AG12" i="90"/>
  <c r="AH12" i="90"/>
  <c r="AI12" i="90"/>
  <c r="AJ12" i="90"/>
  <c r="AK12" i="90"/>
  <c r="AL12" i="90"/>
  <c r="AM12" i="90"/>
  <c r="AN12" i="90"/>
  <c r="AO12" i="90"/>
  <c r="AP12" i="90"/>
  <c r="AQ12" i="90"/>
  <c r="AR12" i="90"/>
  <c r="AS12" i="90"/>
  <c r="AT12" i="90"/>
  <c r="AU12" i="90"/>
  <c r="AV12" i="90"/>
  <c r="AW12" i="90"/>
  <c r="AX12" i="90"/>
  <c r="AY12" i="90"/>
  <c r="AZ12" i="90"/>
  <c r="BA12" i="90"/>
  <c r="BB12" i="90"/>
  <c r="BC12" i="90"/>
  <c r="BD12" i="90"/>
  <c r="BE12" i="90"/>
  <c r="BF12" i="90"/>
  <c r="BG12" i="90"/>
  <c r="BH12" i="90"/>
  <c r="BI12" i="90"/>
  <c r="BJ12" i="90"/>
  <c r="BK12" i="90"/>
  <c r="BL12" i="90"/>
  <c r="BM12" i="90"/>
  <c r="BN12" i="90"/>
  <c r="BO12" i="90"/>
  <c r="BP12" i="90"/>
  <c r="BQ12" i="90"/>
  <c r="BR12" i="90"/>
  <c r="BS12" i="90"/>
  <c r="BT12" i="90"/>
  <c r="BU12" i="90"/>
  <c r="BV12" i="90"/>
  <c r="BW12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Z13" i="90"/>
  <c r="AA13" i="90"/>
  <c r="AB13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Z14" i="90"/>
  <c r="AA14" i="90"/>
  <c r="AB14" i="90"/>
  <c r="AC14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Z15" i="90"/>
  <c r="AA15" i="90"/>
  <c r="AB15" i="90"/>
  <c r="AC15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Z16" i="90"/>
  <c r="AA16" i="90"/>
  <c r="AB16" i="90"/>
  <c r="AC16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Z17" i="90"/>
  <c r="AA17" i="90"/>
  <c r="AB17" i="90"/>
  <c r="AC17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Z18" i="90"/>
  <c r="AA18" i="90"/>
  <c r="AB18" i="90"/>
  <c r="AC18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Z19" i="90"/>
  <c r="AA19" i="90"/>
  <c r="AB19" i="90"/>
  <c r="AC19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Z20" i="90"/>
  <c r="AA20" i="90"/>
  <c r="AB20" i="90"/>
  <c r="AC20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Z21" i="90"/>
  <c r="AA21" i="90"/>
  <c r="AB21" i="90"/>
  <c r="AC21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Z22" i="90"/>
  <c r="AA22" i="90"/>
  <c r="AB22" i="90"/>
  <c r="AC22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Z23" i="90"/>
  <c r="AA23" i="90"/>
  <c r="AB23" i="90"/>
  <c r="AC23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Z24" i="90"/>
  <c r="AA24" i="90"/>
  <c r="AB24" i="90"/>
  <c r="AC24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Z25" i="90"/>
  <c r="AA25" i="90"/>
  <c r="AB25" i="90"/>
  <c r="AC25" i="90"/>
  <c r="F26" i="90"/>
  <c r="G26" i="90"/>
  <c r="H26" i="90"/>
  <c r="I26" i="90"/>
  <c r="J26" i="90"/>
  <c r="K26" i="90"/>
  <c r="L26" i="90"/>
  <c r="M26" i="90"/>
  <c r="N26" i="90"/>
  <c r="O26" i="90"/>
  <c r="P26" i="90"/>
  <c r="Q26" i="90"/>
  <c r="R26" i="90"/>
  <c r="S26" i="90"/>
  <c r="T26" i="90"/>
  <c r="U26" i="90"/>
  <c r="V26" i="90"/>
  <c r="W26" i="90"/>
  <c r="X26" i="90"/>
  <c r="Y26" i="90"/>
  <c r="Z26" i="90"/>
  <c r="AA26" i="90"/>
  <c r="AB26" i="90"/>
  <c r="AC26" i="90"/>
  <c r="F27" i="90"/>
  <c r="G27" i="90"/>
  <c r="H27" i="90"/>
  <c r="I27" i="90"/>
  <c r="J27" i="90"/>
  <c r="K27" i="90"/>
  <c r="L27" i="90"/>
  <c r="M27" i="90"/>
  <c r="N27" i="90"/>
  <c r="O27" i="90"/>
  <c r="P27" i="90"/>
  <c r="Q27" i="90"/>
  <c r="R27" i="90"/>
  <c r="S27" i="90"/>
  <c r="T27" i="90"/>
  <c r="U27" i="90"/>
  <c r="V27" i="90"/>
  <c r="W27" i="90"/>
  <c r="X27" i="90"/>
  <c r="Y27" i="90"/>
  <c r="Z27" i="90"/>
  <c r="AA27" i="90"/>
  <c r="AB27" i="90"/>
  <c r="AC27" i="90"/>
  <c r="F28" i="90"/>
  <c r="G28" i="90"/>
  <c r="H28" i="90"/>
  <c r="I28" i="90"/>
  <c r="J28" i="90"/>
  <c r="K28" i="90"/>
  <c r="L28" i="90"/>
  <c r="M28" i="90"/>
  <c r="N28" i="90"/>
  <c r="O28" i="90"/>
  <c r="P28" i="90"/>
  <c r="Q28" i="90"/>
  <c r="R28" i="90"/>
  <c r="S28" i="90"/>
  <c r="T28" i="90"/>
  <c r="U28" i="90"/>
  <c r="V28" i="90"/>
  <c r="W28" i="90"/>
  <c r="X28" i="90"/>
  <c r="Y28" i="90"/>
  <c r="Z28" i="90"/>
  <c r="AA28" i="90"/>
  <c r="AB28" i="90"/>
  <c r="AC28" i="90"/>
  <c r="F29" i="90"/>
  <c r="G29" i="90"/>
  <c r="H29" i="90"/>
  <c r="I29" i="90"/>
  <c r="J29" i="90"/>
  <c r="K29" i="90"/>
  <c r="L29" i="90"/>
  <c r="M29" i="90"/>
  <c r="N29" i="90"/>
  <c r="O29" i="90"/>
  <c r="P29" i="90"/>
  <c r="Q29" i="90"/>
  <c r="R29" i="90"/>
  <c r="S29" i="90"/>
  <c r="T29" i="90"/>
  <c r="U29" i="90"/>
  <c r="V29" i="90"/>
  <c r="W29" i="90"/>
  <c r="X29" i="90"/>
  <c r="Y29" i="90"/>
  <c r="Z29" i="90"/>
  <c r="AA29" i="90"/>
  <c r="AB29" i="90"/>
  <c r="AC29" i="90"/>
  <c r="F30" i="90"/>
  <c r="G30" i="90"/>
  <c r="H30" i="90"/>
  <c r="I30" i="90"/>
  <c r="J30" i="90"/>
  <c r="K30" i="90"/>
  <c r="L30" i="90"/>
  <c r="M30" i="90"/>
  <c r="N30" i="90"/>
  <c r="O30" i="90"/>
  <c r="P30" i="90"/>
  <c r="Q30" i="90"/>
  <c r="R30" i="90"/>
  <c r="S30" i="90"/>
  <c r="T30" i="90"/>
  <c r="U30" i="90"/>
  <c r="V30" i="90"/>
  <c r="W30" i="90"/>
  <c r="X30" i="90"/>
  <c r="Y30" i="90"/>
  <c r="Z30" i="90"/>
  <c r="AA30" i="90"/>
  <c r="AB30" i="90"/>
  <c r="AC30" i="90"/>
  <c r="F31" i="90"/>
  <c r="G31" i="90"/>
  <c r="H31" i="90"/>
  <c r="I31" i="90"/>
  <c r="J31" i="90"/>
  <c r="K31" i="90"/>
  <c r="L31" i="90"/>
  <c r="M31" i="90"/>
  <c r="N31" i="90"/>
  <c r="O31" i="90"/>
  <c r="P31" i="90"/>
  <c r="Q31" i="90"/>
  <c r="R31" i="90"/>
  <c r="S31" i="90"/>
  <c r="T31" i="90"/>
  <c r="U31" i="90"/>
  <c r="V31" i="90"/>
  <c r="W31" i="90"/>
  <c r="X31" i="90"/>
  <c r="Y31" i="90"/>
  <c r="Z31" i="90"/>
  <c r="AA31" i="90"/>
  <c r="AB31" i="90"/>
  <c r="AC31" i="90"/>
  <c r="F32" i="90"/>
  <c r="G32" i="90"/>
  <c r="H32" i="90"/>
  <c r="I32" i="90"/>
  <c r="J32" i="90"/>
  <c r="K32" i="90"/>
  <c r="L32" i="90"/>
  <c r="M32" i="90"/>
  <c r="N32" i="90"/>
  <c r="O32" i="90"/>
  <c r="P32" i="90"/>
  <c r="Q32" i="90"/>
  <c r="R32" i="90"/>
  <c r="S32" i="90"/>
  <c r="T32" i="90"/>
  <c r="U32" i="90"/>
  <c r="V32" i="90"/>
  <c r="W32" i="90"/>
  <c r="X32" i="90"/>
  <c r="Y32" i="90"/>
  <c r="Z32" i="90"/>
  <c r="AA32" i="90"/>
  <c r="AB32" i="90"/>
  <c r="AC32" i="90"/>
  <c r="F33" i="90"/>
  <c r="G33" i="90"/>
  <c r="H33" i="90"/>
  <c r="I33" i="90"/>
  <c r="J33" i="90"/>
  <c r="K33" i="90"/>
  <c r="L33" i="90"/>
  <c r="M33" i="90"/>
  <c r="N33" i="90"/>
  <c r="O33" i="90"/>
  <c r="P33" i="90"/>
  <c r="Q33" i="90"/>
  <c r="R33" i="90"/>
  <c r="S33" i="90"/>
  <c r="T33" i="90"/>
  <c r="U33" i="90"/>
  <c r="V33" i="90"/>
  <c r="W33" i="90"/>
  <c r="X33" i="90"/>
  <c r="Y33" i="90"/>
  <c r="Z33" i="90"/>
  <c r="AA33" i="90"/>
  <c r="AB33" i="90"/>
  <c r="AC33" i="90"/>
  <c r="F34" i="90"/>
  <c r="G34" i="90"/>
  <c r="H34" i="90"/>
  <c r="I34" i="90"/>
  <c r="J34" i="90"/>
  <c r="K34" i="90"/>
  <c r="L34" i="90"/>
  <c r="M34" i="90"/>
  <c r="N34" i="90"/>
  <c r="O34" i="90"/>
  <c r="P34" i="90"/>
  <c r="Q34" i="90"/>
  <c r="R34" i="90"/>
  <c r="S34" i="90"/>
  <c r="T34" i="90"/>
  <c r="U34" i="90"/>
  <c r="V34" i="90"/>
  <c r="W34" i="90"/>
  <c r="X34" i="90"/>
  <c r="Y34" i="90"/>
  <c r="Z34" i="90"/>
  <c r="AA34" i="90"/>
  <c r="AB34" i="90"/>
  <c r="AC34" i="90"/>
  <c r="F35" i="90"/>
  <c r="G35" i="90"/>
  <c r="H35" i="90"/>
  <c r="I35" i="90"/>
  <c r="J35" i="90"/>
  <c r="K35" i="90"/>
  <c r="L35" i="90"/>
  <c r="M35" i="90"/>
  <c r="N35" i="90"/>
  <c r="O35" i="90"/>
  <c r="P35" i="90"/>
  <c r="Q35" i="90"/>
  <c r="R35" i="90"/>
  <c r="S35" i="90"/>
  <c r="T35" i="90"/>
  <c r="U35" i="90"/>
  <c r="V35" i="90"/>
  <c r="W35" i="90"/>
  <c r="X35" i="90"/>
  <c r="Y35" i="90"/>
  <c r="Z35" i="90"/>
  <c r="AA35" i="90"/>
  <c r="AB35" i="90"/>
  <c r="AC35" i="90"/>
  <c r="F36" i="90"/>
  <c r="G36" i="90"/>
  <c r="H36" i="90"/>
  <c r="I36" i="90"/>
  <c r="J36" i="90"/>
  <c r="K36" i="90"/>
  <c r="L36" i="90"/>
  <c r="M36" i="90"/>
  <c r="N36" i="90"/>
  <c r="O36" i="90"/>
  <c r="P36" i="90"/>
  <c r="Q36" i="90"/>
  <c r="R36" i="90"/>
  <c r="S36" i="90"/>
  <c r="T36" i="90"/>
  <c r="U36" i="90"/>
  <c r="V36" i="90"/>
  <c r="W36" i="90"/>
  <c r="X36" i="90"/>
  <c r="Y36" i="90"/>
  <c r="Z36" i="90"/>
  <c r="AA36" i="90"/>
  <c r="AB36" i="90"/>
  <c r="AC36" i="90"/>
  <c r="E14" i="90"/>
  <c r="E15" i="90"/>
  <c r="E16" i="90"/>
  <c r="E41" i="90" s="1"/>
  <c r="E17" i="90"/>
  <c r="E18" i="90"/>
  <c r="E19" i="90"/>
  <c r="E20" i="90"/>
  <c r="E21" i="90"/>
  <c r="E22" i="90"/>
  <c r="E23" i="90"/>
  <c r="E24" i="90"/>
  <c r="E25" i="90"/>
  <c r="E26" i="90"/>
  <c r="E27" i="90"/>
  <c r="E28" i="90"/>
  <c r="E29" i="90"/>
  <c r="E30" i="90"/>
  <c r="E31" i="90"/>
  <c r="E32" i="90"/>
  <c r="E33" i="90"/>
  <c r="E34" i="90"/>
  <c r="E35" i="90"/>
  <c r="E36" i="90"/>
  <c r="E13" i="90"/>
  <c r="E12" i="90"/>
  <c r="BW111" i="90"/>
  <c r="BV111" i="90"/>
  <c r="BU111" i="90"/>
  <c r="BT111" i="90"/>
  <c r="BS111" i="90"/>
  <c r="BR111" i="90"/>
  <c r="BQ111" i="90"/>
  <c r="BP111" i="90"/>
  <c r="BO111" i="90"/>
  <c r="BN111" i="90"/>
  <c r="BM111" i="90"/>
  <c r="BL111" i="90"/>
  <c r="BK111" i="90"/>
  <c r="BJ111" i="90"/>
  <c r="BI111" i="90"/>
  <c r="BH111" i="90"/>
  <c r="BG111" i="90"/>
  <c r="BF111" i="90"/>
  <c r="BE111" i="90"/>
  <c r="BD111" i="90"/>
  <c r="BB111" i="90"/>
  <c r="AZ111" i="90"/>
  <c r="AY111" i="90"/>
  <c r="AX111" i="90"/>
  <c r="AW111" i="90"/>
  <c r="AV111" i="90"/>
  <c r="AU111" i="90"/>
  <c r="AT111" i="90"/>
  <c r="AS111" i="90"/>
  <c r="AR111" i="90"/>
  <c r="AQ111" i="90"/>
  <c r="AP111" i="90"/>
  <c r="AO111" i="90"/>
  <c r="AN111" i="90"/>
  <c r="AM111" i="90"/>
  <c r="AL111" i="90"/>
  <c r="AK111" i="90"/>
  <c r="AJ111" i="90"/>
  <c r="AI111" i="90"/>
  <c r="AH111" i="90"/>
  <c r="AG111" i="90"/>
  <c r="AF111" i="90"/>
  <c r="AE111" i="90"/>
  <c r="AD111" i="90"/>
  <c r="AC111" i="90"/>
  <c r="AB111" i="90"/>
  <c r="AA111" i="90"/>
  <c r="Z111" i="90"/>
  <c r="Y111" i="90"/>
  <c r="X111" i="90"/>
  <c r="W111" i="90"/>
  <c r="V111" i="90"/>
  <c r="U111" i="90"/>
  <c r="T111" i="90"/>
  <c r="S111" i="90"/>
  <c r="R111" i="90"/>
  <c r="Q111" i="90"/>
  <c r="P111" i="90"/>
  <c r="O111" i="90"/>
  <c r="N111" i="90"/>
  <c r="M111" i="90"/>
  <c r="L111" i="90"/>
  <c r="K111" i="90"/>
  <c r="J111" i="90"/>
  <c r="I111" i="90"/>
  <c r="H111" i="90"/>
  <c r="G111" i="90"/>
  <c r="F111" i="90"/>
  <c r="E111" i="90"/>
  <c r="BW76" i="90"/>
  <c r="BV76" i="90"/>
  <c r="BU76" i="90"/>
  <c r="BT76" i="90"/>
  <c r="BS76" i="90"/>
  <c r="BR76" i="90"/>
  <c r="BQ76" i="90"/>
  <c r="BP76" i="90"/>
  <c r="BO76" i="90"/>
  <c r="BN76" i="90"/>
  <c r="BM76" i="90"/>
  <c r="BL76" i="90"/>
  <c r="BK76" i="90"/>
  <c r="BJ76" i="90"/>
  <c r="BI76" i="90"/>
  <c r="BH76" i="90"/>
  <c r="BG76" i="90"/>
  <c r="BF76" i="90"/>
  <c r="BE76" i="90"/>
  <c r="BD76" i="90"/>
  <c r="BC76" i="90"/>
  <c r="BB76" i="90"/>
  <c r="BA76" i="90"/>
  <c r="AZ76" i="90"/>
  <c r="AY76" i="90"/>
  <c r="AX76" i="90"/>
  <c r="AW76" i="90"/>
  <c r="AV76" i="90"/>
  <c r="AU76" i="90"/>
  <c r="AT76" i="90"/>
  <c r="AS76" i="90"/>
  <c r="AR76" i="90"/>
  <c r="AQ76" i="90"/>
  <c r="AP76" i="90"/>
  <c r="AO76" i="90"/>
  <c r="AN76" i="90"/>
  <c r="AM76" i="90"/>
  <c r="AL76" i="90"/>
  <c r="AK76" i="90"/>
  <c r="AJ76" i="90"/>
  <c r="AI76" i="90"/>
  <c r="AH76" i="90"/>
  <c r="AG76" i="90"/>
  <c r="AF76" i="90"/>
  <c r="AE76" i="90"/>
  <c r="AD76" i="90"/>
  <c r="AC76" i="90"/>
  <c r="AB76" i="90"/>
  <c r="AA76" i="90"/>
  <c r="Z76" i="90"/>
  <c r="Y76" i="90"/>
  <c r="X76" i="90"/>
  <c r="W76" i="90"/>
  <c r="V76" i="90"/>
  <c r="U76" i="90"/>
  <c r="T76" i="90"/>
  <c r="S76" i="90"/>
  <c r="R76" i="90"/>
  <c r="Q76" i="90"/>
  <c r="P76" i="90"/>
  <c r="O76" i="90"/>
  <c r="N76" i="90"/>
  <c r="M76" i="90"/>
  <c r="L76" i="90"/>
  <c r="K76" i="90"/>
  <c r="J76" i="90"/>
  <c r="I76" i="90"/>
  <c r="H76" i="90"/>
  <c r="G76" i="90"/>
  <c r="F76" i="90"/>
  <c r="E76" i="90"/>
  <c r="G14" i="11"/>
  <c r="G13" i="11"/>
  <c r="G12" i="11"/>
  <c r="G11" i="11"/>
  <c r="L37" i="17"/>
  <c r="K37" i="17"/>
  <c r="X41" i="90" l="1"/>
  <c r="P41" i="90"/>
  <c r="H41" i="90"/>
  <c r="W41" i="90"/>
  <c r="O41" i="90"/>
  <c r="G41" i="90"/>
  <c r="V41" i="90"/>
  <c r="N41" i="90"/>
  <c r="F41" i="90"/>
  <c r="AC41" i="90"/>
  <c r="U41" i="90"/>
  <c r="M41" i="90"/>
  <c r="AB41" i="90"/>
  <c r="T41" i="90"/>
  <c r="L41" i="90"/>
  <c r="AA41" i="90"/>
  <c r="S41" i="90"/>
  <c r="K41" i="90"/>
  <c r="Z41" i="90"/>
  <c r="R41" i="90"/>
  <c r="J41" i="90"/>
  <c r="Y41" i="90"/>
  <c r="Q41" i="90"/>
  <c r="I41" i="90"/>
  <c r="E42" i="90"/>
  <c r="X42" i="90"/>
  <c r="P42" i="90"/>
  <c r="H42" i="90"/>
  <c r="W42" i="90"/>
  <c r="O42" i="90"/>
  <c r="G42" i="90"/>
  <c r="V42" i="90"/>
  <c r="N42" i="90"/>
  <c r="F42" i="90"/>
  <c r="AC42" i="90"/>
  <c r="U42" i="90"/>
  <c r="M42" i="90"/>
  <c r="AB42" i="90"/>
  <c r="T42" i="90"/>
  <c r="L42" i="90"/>
  <c r="AA42" i="90"/>
  <c r="S42" i="90"/>
  <c r="K42" i="90"/>
  <c r="Z42" i="90"/>
  <c r="R42" i="90"/>
  <c r="J42" i="90"/>
  <c r="Y42" i="90"/>
  <c r="Q42" i="90"/>
  <c r="I42" i="90"/>
  <c r="BL40" i="90"/>
  <c r="BD40" i="90"/>
  <c r="AF40" i="90"/>
  <c r="P40" i="90"/>
  <c r="H40" i="90"/>
  <c r="BU40" i="90"/>
  <c r="BP40" i="90"/>
  <c r="BH40" i="90"/>
  <c r="AZ40" i="90"/>
  <c r="AR40" i="90"/>
  <c r="AJ40" i="90"/>
  <c r="AB40" i="90"/>
  <c r="T40" i="90"/>
  <c r="L40" i="90"/>
  <c r="BW40" i="90"/>
  <c r="BO40" i="90"/>
  <c r="BG40" i="90"/>
  <c r="AY40" i="90"/>
  <c r="AQ40" i="90"/>
  <c r="AI40" i="90"/>
  <c r="AA40" i="90"/>
  <c r="S40" i="90"/>
  <c r="K40" i="90"/>
  <c r="BM40" i="90"/>
  <c r="AO40" i="90"/>
  <c r="Y40" i="90"/>
  <c r="I40" i="90"/>
  <c r="X40" i="90"/>
  <c r="V40" i="90"/>
  <c r="BT40" i="90"/>
  <c r="AV40" i="90"/>
  <c r="AN40" i="90"/>
  <c r="BS40" i="90"/>
  <c r="BK40" i="90"/>
  <c r="BC40" i="90"/>
  <c r="AU40" i="90"/>
  <c r="AM40" i="90"/>
  <c r="AE40" i="90"/>
  <c r="W40" i="90"/>
  <c r="O40" i="90"/>
  <c r="G40" i="90"/>
  <c r="BR40" i="90"/>
  <c r="BJ40" i="90"/>
  <c r="BB40" i="90"/>
  <c r="AT40" i="90"/>
  <c r="AL40" i="90"/>
  <c r="N40" i="90"/>
  <c r="F40" i="90"/>
  <c r="BQ40" i="90"/>
  <c r="BI40" i="90"/>
  <c r="BA40" i="90"/>
  <c r="AS40" i="90"/>
  <c r="AK40" i="90"/>
  <c r="AC40" i="90"/>
  <c r="U40" i="90"/>
  <c r="M40" i="90"/>
  <c r="BE40" i="90"/>
  <c r="AW40" i="90"/>
  <c r="AG40" i="90"/>
  <c r="Q40" i="90"/>
  <c r="BV40" i="90"/>
  <c r="BN40" i="90"/>
  <c r="BF40" i="90"/>
  <c r="AX40" i="90"/>
  <c r="AP40" i="90"/>
  <c r="AH40" i="90"/>
  <c r="Z40" i="90"/>
  <c r="R40" i="90"/>
  <c r="J40" i="90"/>
  <c r="E40" i="90"/>
  <c r="B49" i="90"/>
  <c r="B50" i="90" s="1"/>
  <c r="B51" i="90" s="1"/>
  <c r="B52" i="90" s="1"/>
  <c r="B84" i="90"/>
  <c r="B85" i="90" s="1"/>
  <c r="B86" i="90" s="1"/>
  <c r="B87" i="90" s="1"/>
  <c r="B88" i="90" l="1"/>
  <c r="B53" i="90"/>
  <c r="B89" i="90" l="1"/>
  <c r="B54" i="90"/>
  <c r="B55" i="90" l="1"/>
  <c r="B90" i="90"/>
  <c r="B91" i="90" l="1"/>
  <c r="B56" i="90"/>
  <c r="F60" i="15"/>
  <c r="F59" i="15"/>
  <c r="F58" i="15"/>
  <c r="E60" i="15"/>
  <c r="E59" i="15"/>
  <c r="E58" i="15"/>
  <c r="D60" i="15"/>
  <c r="D59" i="15"/>
  <c r="D58" i="15"/>
  <c r="D57" i="15"/>
  <c r="C60" i="15"/>
  <c r="C59" i="15"/>
  <c r="C58" i="15"/>
  <c r="C57" i="15"/>
  <c r="E57" i="15"/>
  <c r="F57" i="15"/>
  <c r="M9" i="15"/>
  <c r="M21" i="15"/>
  <c r="B57" i="90" l="1"/>
  <c r="B92" i="90"/>
  <c r="B93" i="90" l="1"/>
  <c r="B58" i="90"/>
  <c r="B59" i="90" l="1"/>
  <c r="B94" i="90"/>
  <c r="B95" i="90" l="1"/>
  <c r="B60" i="90"/>
  <c r="B61" i="90" l="1"/>
  <c r="B96" i="90"/>
  <c r="C21" i="17"/>
  <c r="M58" i="15"/>
  <c r="M34" i="15"/>
  <c r="M33" i="15"/>
  <c r="M22" i="15"/>
  <c r="M10" i="15"/>
  <c r="B62" i="90" l="1"/>
  <c r="B97" i="90"/>
  <c r="D18" i="17"/>
  <c r="D19" i="17"/>
  <c r="D20" i="17"/>
  <c r="D17" i="17"/>
  <c r="B63" i="90" l="1"/>
  <c r="B98" i="90"/>
  <c r="B6" i="9"/>
  <c r="B99" i="90" l="1"/>
  <c r="B64" i="90"/>
  <c r="B116" i="9"/>
  <c r="D33" i="16" s="1"/>
  <c r="B115" i="9"/>
  <c r="D32" i="16" s="1"/>
  <c r="B114" i="9"/>
  <c r="D31" i="16" s="1"/>
  <c r="B113" i="9"/>
  <c r="D30" i="16" s="1"/>
  <c r="B112" i="9"/>
  <c r="D29" i="16" s="1"/>
  <c r="B111" i="9"/>
  <c r="D28" i="16" s="1"/>
  <c r="B110" i="9"/>
  <c r="D27" i="16" s="1"/>
  <c r="B109" i="9"/>
  <c r="D26" i="16" s="1"/>
  <c r="B108" i="9"/>
  <c r="D25" i="16" s="1"/>
  <c r="B107" i="9"/>
  <c r="D24" i="16" s="1"/>
  <c r="B106" i="9"/>
  <c r="D23" i="16" s="1"/>
  <c r="B105" i="9"/>
  <c r="D22" i="16" s="1"/>
  <c r="B104" i="9"/>
  <c r="D21" i="16" s="1"/>
  <c r="B103" i="9"/>
  <c r="D20" i="16" s="1"/>
  <c r="B102" i="9"/>
  <c r="D19" i="16" s="1"/>
  <c r="B101" i="9"/>
  <c r="D18" i="16" s="1"/>
  <c r="B100" i="9"/>
  <c r="D17" i="16" s="1"/>
  <c r="B99" i="9"/>
  <c r="D16" i="16" s="1"/>
  <c r="B98" i="9"/>
  <c r="D15" i="16" s="1"/>
  <c r="B97" i="9"/>
  <c r="D14" i="16" s="1"/>
  <c r="B96" i="9"/>
  <c r="D13" i="16" s="1"/>
  <c r="B95" i="9"/>
  <c r="B94" i="9"/>
  <c r="D11" i="16" s="1"/>
  <c r="B93" i="9"/>
  <c r="D10" i="16" s="1"/>
  <c r="B87" i="9"/>
  <c r="E33" i="16" s="1"/>
  <c r="B86" i="9"/>
  <c r="E32" i="16" s="1"/>
  <c r="B85" i="9"/>
  <c r="E31" i="16" s="1"/>
  <c r="B84" i="9"/>
  <c r="E30" i="16" s="1"/>
  <c r="B83" i="9"/>
  <c r="E29" i="16" s="1"/>
  <c r="B82" i="9"/>
  <c r="E28" i="16" s="1"/>
  <c r="B81" i="9"/>
  <c r="E27" i="16" s="1"/>
  <c r="B80" i="9"/>
  <c r="E26" i="16" s="1"/>
  <c r="B79" i="9"/>
  <c r="E25" i="16" s="1"/>
  <c r="B78" i="9"/>
  <c r="E24" i="16" s="1"/>
  <c r="B77" i="9"/>
  <c r="E23" i="16" s="1"/>
  <c r="B76" i="9"/>
  <c r="E22" i="16" s="1"/>
  <c r="B75" i="9"/>
  <c r="E21" i="16" s="1"/>
  <c r="B74" i="9"/>
  <c r="E20" i="16" s="1"/>
  <c r="B73" i="9"/>
  <c r="E19" i="16" s="1"/>
  <c r="B72" i="9"/>
  <c r="E18" i="16" s="1"/>
  <c r="B71" i="9"/>
  <c r="E17" i="16" s="1"/>
  <c r="B70" i="9"/>
  <c r="E16" i="16" s="1"/>
  <c r="B69" i="9"/>
  <c r="E15" i="16" s="1"/>
  <c r="B68" i="9"/>
  <c r="E14" i="16" s="1"/>
  <c r="B67" i="9"/>
  <c r="E13" i="16" s="1"/>
  <c r="B66" i="9"/>
  <c r="B65" i="9"/>
  <c r="E11" i="16" s="1"/>
  <c r="B64" i="9"/>
  <c r="E10" i="16" s="1"/>
  <c r="B58" i="9"/>
  <c r="F33" i="16" s="1"/>
  <c r="B57" i="9"/>
  <c r="F32" i="16" s="1"/>
  <c r="B56" i="9"/>
  <c r="F31" i="16" s="1"/>
  <c r="B55" i="9"/>
  <c r="F30" i="16" s="1"/>
  <c r="B54" i="9"/>
  <c r="F29" i="16" s="1"/>
  <c r="B53" i="9"/>
  <c r="F28" i="16" s="1"/>
  <c r="B52" i="9"/>
  <c r="F27" i="16" s="1"/>
  <c r="B51" i="9"/>
  <c r="F26" i="16" s="1"/>
  <c r="B50" i="9"/>
  <c r="F25" i="16" s="1"/>
  <c r="B49" i="9"/>
  <c r="F24" i="16" s="1"/>
  <c r="B48" i="9"/>
  <c r="F23" i="16" s="1"/>
  <c r="B47" i="9"/>
  <c r="F22" i="16" s="1"/>
  <c r="B46" i="9"/>
  <c r="F21" i="16" s="1"/>
  <c r="B45" i="9"/>
  <c r="F20" i="16" s="1"/>
  <c r="B44" i="9"/>
  <c r="F19" i="16" s="1"/>
  <c r="B43" i="9"/>
  <c r="F18" i="16" s="1"/>
  <c r="B42" i="9"/>
  <c r="F17" i="16" s="1"/>
  <c r="B41" i="9"/>
  <c r="F16" i="16" s="1"/>
  <c r="B40" i="9"/>
  <c r="F15" i="16" s="1"/>
  <c r="B39" i="9"/>
  <c r="F14" i="16" s="1"/>
  <c r="B38" i="9"/>
  <c r="F13" i="16" s="1"/>
  <c r="B37" i="9"/>
  <c r="B36" i="9"/>
  <c r="F11" i="16" s="1"/>
  <c r="B35" i="9"/>
  <c r="F10" i="16" s="1"/>
  <c r="B7" i="9"/>
  <c r="G11" i="16" s="1"/>
  <c r="B8" i="9"/>
  <c r="B9" i="9"/>
  <c r="G13" i="16" s="1"/>
  <c r="B10" i="9"/>
  <c r="G14" i="16" s="1"/>
  <c r="B11" i="9"/>
  <c r="G15" i="16" s="1"/>
  <c r="B12" i="9"/>
  <c r="G16" i="16" s="1"/>
  <c r="B13" i="9"/>
  <c r="G17" i="16" s="1"/>
  <c r="B14" i="9"/>
  <c r="G18" i="16" s="1"/>
  <c r="B15" i="9"/>
  <c r="G19" i="16" s="1"/>
  <c r="B16" i="9"/>
  <c r="G20" i="16" s="1"/>
  <c r="B17" i="9"/>
  <c r="G21" i="16" s="1"/>
  <c r="B18" i="9"/>
  <c r="G22" i="16" s="1"/>
  <c r="B19" i="9"/>
  <c r="G23" i="16" s="1"/>
  <c r="B20" i="9"/>
  <c r="G24" i="16" s="1"/>
  <c r="B21" i="9"/>
  <c r="G25" i="16" s="1"/>
  <c r="B22" i="9"/>
  <c r="G26" i="16" s="1"/>
  <c r="B23" i="9"/>
  <c r="G27" i="16" s="1"/>
  <c r="B24" i="9"/>
  <c r="G28" i="16" s="1"/>
  <c r="B25" i="9"/>
  <c r="G29" i="16" s="1"/>
  <c r="B26" i="9"/>
  <c r="G30" i="16" s="1"/>
  <c r="B27" i="9"/>
  <c r="G31" i="16" s="1"/>
  <c r="B28" i="9"/>
  <c r="G32" i="16" s="1"/>
  <c r="B29" i="9"/>
  <c r="G33" i="16" s="1"/>
  <c r="G10" i="16"/>
  <c r="B65" i="90" l="1"/>
  <c r="B100" i="90"/>
  <c r="D12" i="16"/>
  <c r="E12" i="16"/>
  <c r="G12" i="16"/>
  <c r="F12" i="16"/>
  <c r="B101" i="90" l="1"/>
  <c r="B66" i="90"/>
  <c r="M13" i="92" l="1"/>
  <c r="O13" i="92" s="1"/>
  <c r="M14" i="92"/>
  <c r="O14" i="92" s="1"/>
  <c r="M15" i="92"/>
  <c r="O15" i="92" s="1"/>
  <c r="M16" i="92"/>
  <c r="O16" i="92" s="1"/>
  <c r="M17" i="92"/>
  <c r="O17" i="92" s="1"/>
  <c r="M18" i="92"/>
  <c r="M19" i="92"/>
  <c r="B67" i="90"/>
  <c r="B102" i="90"/>
  <c r="L30" i="5"/>
  <c r="L29" i="5"/>
  <c r="N19" i="92" l="1"/>
  <c r="Q19" i="92" s="1"/>
  <c r="R19" i="92" s="1"/>
  <c r="O19" i="92"/>
  <c r="P19" i="92"/>
  <c r="O18" i="92"/>
  <c r="P18" i="92"/>
  <c r="N18" i="92"/>
  <c r="Q18" i="92" s="1"/>
  <c r="R18" i="92" s="1"/>
  <c r="N17" i="92"/>
  <c r="Q17" i="92" s="1"/>
  <c r="R17" i="92" s="1"/>
  <c r="P17" i="92"/>
  <c r="P16" i="92"/>
  <c r="N16" i="92"/>
  <c r="Q16" i="92" s="1"/>
  <c r="R16" i="92" s="1"/>
  <c r="N15" i="92"/>
  <c r="Q15" i="92" s="1"/>
  <c r="R15" i="92" s="1"/>
  <c r="P15" i="92"/>
  <c r="N14" i="92"/>
  <c r="Q14" i="92" s="1"/>
  <c r="R14" i="92" s="1"/>
  <c r="P14" i="92"/>
  <c r="P13" i="92"/>
  <c r="N13" i="92"/>
  <c r="B103" i="90"/>
  <c r="B68" i="90"/>
  <c r="D48" i="2"/>
  <c r="E48" i="2" s="1"/>
  <c r="O22" i="92" l="1"/>
  <c r="F34" i="92" s="1"/>
  <c r="N22" i="92"/>
  <c r="F29" i="92" s="1"/>
  <c r="Q13" i="92"/>
  <c r="R13" i="92" s="1"/>
  <c r="B69" i="90"/>
  <c r="B104" i="90"/>
  <c r="Q40" i="6"/>
  <c r="F11" i="11" s="1"/>
  <c r="H11" i="11" s="1"/>
  <c r="Q41" i="6"/>
  <c r="F12" i="11" s="1"/>
  <c r="H12" i="11" s="1"/>
  <c r="Q42" i="6"/>
  <c r="Q43" i="6"/>
  <c r="Q44" i="6"/>
  <c r="Q45" i="6"/>
  <c r="Q46" i="6"/>
  <c r="Q47" i="6"/>
  <c r="Q48" i="6"/>
  <c r="Q49" i="6"/>
  <c r="Q50" i="6"/>
  <c r="Q51" i="6"/>
  <c r="Q39" i="6"/>
  <c r="F35" i="92" l="1"/>
  <c r="G34" i="92"/>
  <c r="F31" i="92"/>
  <c r="G29" i="92"/>
  <c r="Q22" i="92"/>
  <c r="R22" i="92"/>
  <c r="F13" i="11"/>
  <c r="B105" i="90"/>
  <c r="F14" i="11"/>
  <c r="B70" i="90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H34" i="92" l="1"/>
  <c r="G35" i="92"/>
  <c r="F36" i="92"/>
  <c r="G39" i="92" s="1"/>
  <c r="G31" i="92"/>
  <c r="H29" i="92"/>
  <c r="B71" i="90"/>
  <c r="H14" i="11"/>
  <c r="I14" i="11" s="1"/>
  <c r="B106" i="90"/>
  <c r="H13" i="11"/>
  <c r="H25" i="14"/>
  <c r="F65" i="14" s="1"/>
  <c r="I13" i="11" l="1"/>
  <c r="L43" i="17" s="1"/>
  <c r="P51" i="101" s="1"/>
  <c r="G36" i="92"/>
  <c r="H39" i="92" s="1"/>
  <c r="I34" i="92"/>
  <c r="J34" i="92" s="1"/>
  <c r="H35" i="92"/>
  <c r="I29" i="92"/>
  <c r="J29" i="92" s="1"/>
  <c r="H31" i="92"/>
  <c r="L45" i="17"/>
  <c r="P61" i="101" s="1"/>
  <c r="L44" i="17"/>
  <c r="P60" i="101" s="1"/>
  <c r="B107" i="90"/>
  <c r="B72" i="90"/>
  <c r="L29" i="14"/>
  <c r="L25" i="14"/>
  <c r="L24" i="14"/>
  <c r="K29" i="14"/>
  <c r="K28" i="14"/>
  <c r="K27" i="14"/>
  <c r="K26" i="14"/>
  <c r="K25" i="14"/>
  <c r="K24" i="14"/>
  <c r="G35" i="14"/>
  <c r="G34" i="14"/>
  <c r="F35" i="14"/>
  <c r="F34" i="14"/>
  <c r="H29" i="14"/>
  <c r="H28" i="14"/>
  <c r="H27" i="14"/>
  <c r="H26" i="14"/>
  <c r="H24" i="14"/>
  <c r="G29" i="14"/>
  <c r="G28" i="14"/>
  <c r="G27" i="14"/>
  <c r="G26" i="14"/>
  <c r="G25" i="14"/>
  <c r="G24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L26" i="14"/>
  <c r="L28" i="14"/>
  <c r="L27" i="14"/>
  <c r="C135" i="12"/>
  <c r="J31" i="92" l="1"/>
  <c r="K29" i="92"/>
  <c r="K31" i="92" s="1"/>
  <c r="J35" i="92"/>
  <c r="K34" i="92"/>
  <c r="K35" i="92" s="1"/>
  <c r="H38" i="92"/>
  <c r="H43" i="92" s="1"/>
  <c r="H44" i="92" s="1"/>
  <c r="G38" i="92"/>
  <c r="H36" i="92"/>
  <c r="I35" i="92"/>
  <c r="I31" i="92"/>
  <c r="C53" i="14"/>
  <c r="C48" i="14"/>
  <c r="C71" i="14"/>
  <c r="AE337" i="8"/>
  <c r="AD337" i="8"/>
  <c r="AC337" i="8"/>
  <c r="AB337" i="8"/>
  <c r="AA337" i="8"/>
  <c r="Z337" i="8"/>
  <c r="Y337" i="8"/>
  <c r="X337" i="8"/>
  <c r="W337" i="8"/>
  <c r="V337" i="8"/>
  <c r="U337" i="8"/>
  <c r="T337" i="8"/>
  <c r="S337" i="8"/>
  <c r="AE336" i="8"/>
  <c r="AD336" i="8"/>
  <c r="AC336" i="8"/>
  <c r="AB336" i="8"/>
  <c r="AA336" i="8"/>
  <c r="Z336" i="8"/>
  <c r="Y336" i="8"/>
  <c r="X336" i="8"/>
  <c r="W336" i="8"/>
  <c r="V336" i="8"/>
  <c r="U336" i="8"/>
  <c r="T336" i="8"/>
  <c r="S336" i="8"/>
  <c r="AF335" i="8"/>
  <c r="I33" i="16" s="1"/>
  <c r="AF334" i="8"/>
  <c r="I32" i="16" s="1"/>
  <c r="AF333" i="8"/>
  <c r="I31" i="16" s="1"/>
  <c r="AF332" i="8"/>
  <c r="I30" i="16" s="1"/>
  <c r="AF331" i="8"/>
  <c r="I29" i="16" s="1"/>
  <c r="AF330" i="8"/>
  <c r="I28" i="16" s="1"/>
  <c r="AF329" i="8"/>
  <c r="I27" i="16" s="1"/>
  <c r="AF328" i="8"/>
  <c r="I26" i="16" s="1"/>
  <c r="AF327" i="8"/>
  <c r="I25" i="16" s="1"/>
  <c r="AF326" i="8"/>
  <c r="I24" i="16" s="1"/>
  <c r="AF325" i="8"/>
  <c r="I23" i="16" s="1"/>
  <c r="AF324" i="8"/>
  <c r="AF323" i="8"/>
  <c r="AF322" i="8"/>
  <c r="AF321" i="8"/>
  <c r="AF320" i="8"/>
  <c r="AF319" i="8"/>
  <c r="AF318" i="8"/>
  <c r="AF317" i="8"/>
  <c r="AF316" i="8"/>
  <c r="AF315" i="8"/>
  <c r="AF314" i="8"/>
  <c r="AF313" i="8"/>
  <c r="AF312" i="8"/>
  <c r="B312" i="8"/>
  <c r="AE303" i="8"/>
  <c r="AD303" i="8"/>
  <c r="AC303" i="8"/>
  <c r="AB303" i="8"/>
  <c r="AA303" i="8"/>
  <c r="Z303" i="8"/>
  <c r="Y303" i="8"/>
  <c r="X303" i="8"/>
  <c r="W303" i="8"/>
  <c r="V303" i="8"/>
  <c r="U303" i="8"/>
  <c r="T303" i="8"/>
  <c r="S303" i="8"/>
  <c r="AE302" i="8"/>
  <c r="AD302" i="8"/>
  <c r="AC302" i="8"/>
  <c r="AB302" i="8"/>
  <c r="AA302" i="8"/>
  <c r="Z302" i="8"/>
  <c r="Y302" i="8"/>
  <c r="X302" i="8"/>
  <c r="W302" i="8"/>
  <c r="V302" i="8"/>
  <c r="U302" i="8"/>
  <c r="T302" i="8"/>
  <c r="S302" i="8"/>
  <c r="AF301" i="8"/>
  <c r="J33" i="16" s="1"/>
  <c r="AF300" i="8"/>
  <c r="J32" i="16" s="1"/>
  <c r="AF299" i="8"/>
  <c r="J31" i="16" s="1"/>
  <c r="AF298" i="8"/>
  <c r="J30" i="16" s="1"/>
  <c r="AF297" i="8"/>
  <c r="J29" i="16" s="1"/>
  <c r="AF296" i="8"/>
  <c r="J28" i="16" s="1"/>
  <c r="AF295" i="8"/>
  <c r="J27" i="16" s="1"/>
  <c r="AF294" i="8"/>
  <c r="J26" i="16" s="1"/>
  <c r="AF293" i="8"/>
  <c r="J25" i="16" s="1"/>
  <c r="AF292" i="8"/>
  <c r="J24" i="16" s="1"/>
  <c r="AF291" i="8"/>
  <c r="J23" i="16" s="1"/>
  <c r="AF290" i="8"/>
  <c r="J22" i="16" s="1"/>
  <c r="AF289" i="8"/>
  <c r="J21" i="16" s="1"/>
  <c r="AF288" i="8"/>
  <c r="J20" i="16" s="1"/>
  <c r="AF287" i="8"/>
  <c r="J19" i="16" s="1"/>
  <c r="AF286" i="8"/>
  <c r="J18" i="16" s="1"/>
  <c r="AF285" i="8"/>
  <c r="J17" i="16" s="1"/>
  <c r="AF284" i="8"/>
  <c r="J16" i="16" s="1"/>
  <c r="AF283" i="8"/>
  <c r="J15" i="16" s="1"/>
  <c r="AF282" i="8"/>
  <c r="J14" i="16" s="1"/>
  <c r="AF281" i="8"/>
  <c r="J13" i="16" s="1"/>
  <c r="AF280" i="8"/>
  <c r="J12" i="16" s="1"/>
  <c r="AF279" i="8"/>
  <c r="J11" i="16" s="1"/>
  <c r="AF278" i="8"/>
  <c r="J10" i="16" s="1"/>
  <c r="B278" i="8"/>
  <c r="AE269" i="8"/>
  <c r="AD269" i="8"/>
  <c r="AC269" i="8"/>
  <c r="AB269" i="8"/>
  <c r="AA269" i="8"/>
  <c r="Z269" i="8"/>
  <c r="Y269" i="8"/>
  <c r="X269" i="8"/>
  <c r="W269" i="8"/>
  <c r="V269" i="8"/>
  <c r="U269" i="8"/>
  <c r="T269" i="8"/>
  <c r="S269" i="8"/>
  <c r="AE268" i="8"/>
  <c r="AD268" i="8"/>
  <c r="AC268" i="8"/>
  <c r="AB268" i="8"/>
  <c r="AA268" i="8"/>
  <c r="Z268" i="8"/>
  <c r="Y268" i="8"/>
  <c r="X268" i="8"/>
  <c r="W268" i="8"/>
  <c r="V268" i="8"/>
  <c r="U268" i="8"/>
  <c r="T268" i="8"/>
  <c r="S268" i="8"/>
  <c r="AF267" i="8"/>
  <c r="K33" i="16" s="1"/>
  <c r="AF266" i="8"/>
  <c r="K32" i="16" s="1"/>
  <c r="AF265" i="8"/>
  <c r="K31" i="16" s="1"/>
  <c r="AF264" i="8"/>
  <c r="K30" i="16" s="1"/>
  <c r="AF263" i="8"/>
  <c r="K29" i="16" s="1"/>
  <c r="AF262" i="8"/>
  <c r="K28" i="16" s="1"/>
  <c r="AF261" i="8"/>
  <c r="K27" i="16" s="1"/>
  <c r="AF260" i="8"/>
  <c r="K26" i="16" s="1"/>
  <c r="AF259" i="8"/>
  <c r="K25" i="16" s="1"/>
  <c r="AF258" i="8"/>
  <c r="K24" i="16" s="1"/>
  <c r="AF257" i="8"/>
  <c r="K23" i="16" s="1"/>
  <c r="AF256" i="8"/>
  <c r="K22" i="16" s="1"/>
  <c r="AF255" i="8"/>
  <c r="AF254" i="8"/>
  <c r="AF253" i="8"/>
  <c r="AF252" i="8"/>
  <c r="AF251" i="8"/>
  <c r="AF250" i="8"/>
  <c r="AF249" i="8"/>
  <c r="AF248" i="8"/>
  <c r="AF247" i="8"/>
  <c r="AF246" i="8"/>
  <c r="AF245" i="8"/>
  <c r="AF244" i="8"/>
  <c r="B244" i="8"/>
  <c r="AE235" i="8"/>
  <c r="AD235" i="8"/>
  <c r="AC235" i="8"/>
  <c r="AB235" i="8"/>
  <c r="AA235" i="8"/>
  <c r="Z235" i="8"/>
  <c r="Y235" i="8"/>
  <c r="X235" i="8"/>
  <c r="W235" i="8"/>
  <c r="V235" i="8"/>
  <c r="U235" i="8"/>
  <c r="T235" i="8"/>
  <c r="S235" i="8"/>
  <c r="R235" i="8"/>
  <c r="Q235" i="8"/>
  <c r="AE234" i="8"/>
  <c r="AD234" i="8"/>
  <c r="AC234" i="8"/>
  <c r="AB234" i="8"/>
  <c r="AA234" i="8"/>
  <c r="Z234" i="8"/>
  <c r="Y234" i="8"/>
  <c r="X234" i="8"/>
  <c r="W234" i="8"/>
  <c r="V234" i="8"/>
  <c r="U234" i="8"/>
  <c r="T234" i="8"/>
  <c r="S234" i="8"/>
  <c r="R234" i="8"/>
  <c r="Q234" i="8"/>
  <c r="AF233" i="8"/>
  <c r="AF232" i="8"/>
  <c r="AF231" i="8"/>
  <c r="AF230" i="8"/>
  <c r="AF229" i="8"/>
  <c r="AF228" i="8"/>
  <c r="AF227" i="8"/>
  <c r="AF226" i="8"/>
  <c r="AF225" i="8"/>
  <c r="AF224" i="8"/>
  <c r="AF223" i="8"/>
  <c r="AF222" i="8"/>
  <c r="AF221" i="8"/>
  <c r="AF220" i="8"/>
  <c r="AF219" i="8"/>
  <c r="AF218" i="8"/>
  <c r="AF217" i="8"/>
  <c r="AF216" i="8"/>
  <c r="AF215" i="8"/>
  <c r="AF214" i="8"/>
  <c r="AF213" i="8"/>
  <c r="AF212" i="8"/>
  <c r="AF211" i="8"/>
  <c r="AF210" i="8"/>
  <c r="B210" i="8"/>
  <c r="AE201" i="8"/>
  <c r="AD201" i="8"/>
  <c r="AC201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AE200" i="8"/>
  <c r="AD200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AF199" i="8"/>
  <c r="AF198" i="8"/>
  <c r="AF197" i="8"/>
  <c r="AF196" i="8"/>
  <c r="AF195" i="8"/>
  <c r="AF194" i="8"/>
  <c r="AF193" i="8"/>
  <c r="AF192" i="8"/>
  <c r="AF191" i="8"/>
  <c r="AF190" i="8"/>
  <c r="AF189" i="8"/>
  <c r="AF188" i="8"/>
  <c r="AF187" i="8"/>
  <c r="AF186" i="8"/>
  <c r="AF185" i="8"/>
  <c r="AF184" i="8"/>
  <c r="AF183" i="8"/>
  <c r="AF182" i="8"/>
  <c r="AF181" i="8"/>
  <c r="AF180" i="8"/>
  <c r="AF179" i="8"/>
  <c r="AF178" i="8"/>
  <c r="AF177" i="8"/>
  <c r="AF176" i="8"/>
  <c r="B176" i="8"/>
  <c r="AE167" i="8"/>
  <c r="AD167" i="8"/>
  <c r="AC167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AF165" i="8"/>
  <c r="AF164" i="8"/>
  <c r="AF163" i="8"/>
  <c r="AF162" i="8"/>
  <c r="AF161" i="8"/>
  <c r="AF160" i="8"/>
  <c r="AF159" i="8"/>
  <c r="AF158" i="8"/>
  <c r="AF157" i="8"/>
  <c r="AF156" i="8"/>
  <c r="AF155" i="8"/>
  <c r="AF154" i="8"/>
  <c r="AF153" i="8"/>
  <c r="AF152" i="8"/>
  <c r="AF151" i="8"/>
  <c r="AF150" i="8"/>
  <c r="AF149" i="8"/>
  <c r="AF148" i="8"/>
  <c r="AF147" i="8"/>
  <c r="AF146" i="8"/>
  <c r="AF145" i="8"/>
  <c r="AF144" i="8"/>
  <c r="AF143" i="8"/>
  <c r="AF142" i="8"/>
  <c r="B142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AF131" i="8"/>
  <c r="AF130" i="8"/>
  <c r="AF129" i="8"/>
  <c r="AF128" i="8"/>
  <c r="AF127" i="8"/>
  <c r="AF126" i="8"/>
  <c r="AF125" i="8"/>
  <c r="AF124" i="8"/>
  <c r="AF123" i="8"/>
  <c r="AF122" i="8"/>
  <c r="AF121" i="8"/>
  <c r="AF120" i="8"/>
  <c r="AF119" i="8"/>
  <c r="AF118" i="8"/>
  <c r="AF117" i="8"/>
  <c r="AF116" i="8"/>
  <c r="AF115" i="8"/>
  <c r="AF114" i="8"/>
  <c r="AF113" i="8"/>
  <c r="AF112" i="8"/>
  <c r="AF111" i="8"/>
  <c r="AF110" i="8"/>
  <c r="AF109" i="8"/>
  <c r="AF108" i="8"/>
  <c r="B108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B74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B4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B6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15" i="8"/>
  <c r="AF14" i="8"/>
  <c r="AF13" i="8"/>
  <c r="AF12" i="8"/>
  <c r="AF11" i="8"/>
  <c r="AF10" i="8"/>
  <c r="AF9" i="8"/>
  <c r="AF8" i="8"/>
  <c r="AF7" i="8"/>
  <c r="AF6" i="8"/>
  <c r="I39" i="92" l="1"/>
  <c r="I38" i="92" s="1"/>
  <c r="I43" i="92" s="1"/>
  <c r="I44" i="92" s="1"/>
  <c r="I12" i="16"/>
  <c r="I13" i="16"/>
  <c r="I17" i="16"/>
  <c r="I21" i="16"/>
  <c r="I16" i="16"/>
  <c r="I10" i="16"/>
  <c r="I14" i="16"/>
  <c r="I18" i="16"/>
  <c r="I22" i="16"/>
  <c r="I20" i="16"/>
  <c r="I11" i="16"/>
  <c r="I15" i="16"/>
  <c r="I19" i="16"/>
  <c r="K10" i="16"/>
  <c r="K11" i="16"/>
  <c r="K15" i="16"/>
  <c r="K19" i="16"/>
  <c r="K14" i="16"/>
  <c r="K12" i="16"/>
  <c r="K16" i="16"/>
  <c r="K20" i="16"/>
  <c r="K18" i="16"/>
  <c r="K13" i="16"/>
  <c r="K17" i="16"/>
  <c r="K21" i="16"/>
  <c r="AI30" i="8"/>
  <c r="J36" i="92"/>
  <c r="K39" i="92" s="1"/>
  <c r="K36" i="92"/>
  <c r="G43" i="92"/>
  <c r="G44" i="92" s="1"/>
  <c r="H42" i="92"/>
  <c r="H46" i="92" s="1"/>
  <c r="I36" i="92"/>
  <c r="J39" i="92" s="1"/>
  <c r="C142" i="8"/>
  <c r="B143" i="8" s="1"/>
  <c r="D142" i="8"/>
  <c r="C108" i="8"/>
  <c r="B109" i="8" s="1"/>
  <c r="D108" i="8"/>
  <c r="C6" i="8"/>
  <c r="D6" i="8"/>
  <c r="C74" i="8"/>
  <c r="B75" i="8" s="1"/>
  <c r="D74" i="8"/>
  <c r="C210" i="8"/>
  <c r="B211" i="8" s="1"/>
  <c r="D210" i="8"/>
  <c r="C244" i="8"/>
  <c r="B245" i="8" s="1"/>
  <c r="D244" i="8"/>
  <c r="C40" i="8"/>
  <c r="B41" i="8" s="1"/>
  <c r="D40" i="8"/>
  <c r="C176" i="8"/>
  <c r="B177" i="8" s="1"/>
  <c r="D176" i="8"/>
  <c r="C312" i="8"/>
  <c r="B313" i="8" s="1"/>
  <c r="D312" i="8"/>
  <c r="C278" i="8"/>
  <c r="B279" i="8" s="1"/>
  <c r="D278" i="8"/>
  <c r="AD40" i="90"/>
  <c r="AH13" i="8"/>
  <c r="AH21" i="8"/>
  <c r="L25" i="16" s="1"/>
  <c r="AH29" i="8"/>
  <c r="L33" i="16" s="1"/>
  <c r="AF234" i="8"/>
  <c r="AH10" i="8"/>
  <c r="AF64" i="8"/>
  <c r="AF336" i="8"/>
  <c r="AH12" i="8"/>
  <c r="AH6" i="8"/>
  <c r="AH14" i="8"/>
  <c r="AH23" i="8"/>
  <c r="L27" i="16" s="1"/>
  <c r="AH17" i="8"/>
  <c r="AH25" i="8"/>
  <c r="L29" i="16" s="1"/>
  <c r="AH7" i="8"/>
  <c r="AH15" i="8"/>
  <c r="AH22" i="8"/>
  <c r="L26" i="16" s="1"/>
  <c r="AI31" i="8"/>
  <c r="AH11" i="8"/>
  <c r="AH19" i="8"/>
  <c r="L23" i="16" s="1"/>
  <c r="AH27" i="8"/>
  <c r="L31" i="16" s="1"/>
  <c r="AH8" i="8"/>
  <c r="AH16" i="8"/>
  <c r="AH24" i="8"/>
  <c r="L28" i="16" s="1"/>
  <c r="AH18" i="8"/>
  <c r="L22" i="16" s="1"/>
  <c r="AH26" i="8"/>
  <c r="L30" i="16" s="1"/>
  <c r="AF200" i="8"/>
  <c r="AF269" i="8"/>
  <c r="AF302" i="8"/>
  <c r="AH9" i="8"/>
  <c r="AH28" i="8"/>
  <c r="L32" i="16" s="1"/>
  <c r="AH20" i="8"/>
  <c r="L24" i="16" s="1"/>
  <c r="AF30" i="8"/>
  <c r="AF31" i="8"/>
  <c r="AF133" i="8"/>
  <c r="AF166" i="8"/>
  <c r="AF99" i="8"/>
  <c r="AF132" i="8"/>
  <c r="AF201" i="8"/>
  <c r="AF303" i="8"/>
  <c r="AF235" i="8"/>
  <c r="AF268" i="8"/>
  <c r="AF65" i="8"/>
  <c r="AF337" i="8"/>
  <c r="AF98" i="8"/>
  <c r="AF167" i="8"/>
  <c r="C25" i="17"/>
  <c r="C24" i="17"/>
  <c r="G20" i="7"/>
  <c r="F16" i="7"/>
  <c r="G8" i="17" s="1"/>
  <c r="F36" i="17" s="1"/>
  <c r="F17" i="7"/>
  <c r="G9" i="17" s="1"/>
  <c r="F18" i="7"/>
  <c r="G10" i="17" s="1"/>
  <c r="F39" i="17"/>
  <c r="F15" i="7"/>
  <c r="E54" i="92" l="1"/>
  <c r="L10" i="16"/>
  <c r="L17" i="16"/>
  <c r="L21" i="16"/>
  <c r="L19" i="16"/>
  <c r="L20" i="16"/>
  <c r="L15" i="16"/>
  <c r="L11" i="16"/>
  <c r="L18" i="16"/>
  <c r="L13" i="16"/>
  <c r="L12" i="16"/>
  <c r="L14" i="16"/>
  <c r="L16" i="16"/>
  <c r="G42" i="92"/>
  <c r="G46" i="92" s="1"/>
  <c r="I42" i="92"/>
  <c r="I46" i="92" s="1"/>
  <c r="C177" i="8"/>
  <c r="B178" i="8" s="1"/>
  <c r="D177" i="8"/>
  <c r="C109" i="8"/>
  <c r="B110" i="8" s="1"/>
  <c r="D109" i="8"/>
  <c r="C245" i="8"/>
  <c r="B246" i="8" s="1"/>
  <c r="D245" i="8"/>
  <c r="C279" i="8"/>
  <c r="B280" i="8" s="1"/>
  <c r="D279" i="8"/>
  <c r="C75" i="8"/>
  <c r="B76" i="8" s="1"/>
  <c r="D75" i="8"/>
  <c r="C313" i="8"/>
  <c r="B314" i="8" s="1"/>
  <c r="D313" i="8"/>
  <c r="C41" i="8"/>
  <c r="B42" i="8" s="1"/>
  <c r="D41" i="8"/>
  <c r="C211" i="8"/>
  <c r="B212" i="8" s="1"/>
  <c r="D211" i="8"/>
  <c r="C143" i="8"/>
  <c r="B144" i="8" s="1"/>
  <c r="D143" i="8"/>
  <c r="G7" i="17"/>
  <c r="F35" i="17" s="1"/>
  <c r="F37" i="17"/>
  <c r="F38" i="17"/>
  <c r="AH31" i="8"/>
  <c r="C28" i="17" s="1"/>
  <c r="D28" i="17" s="1"/>
  <c r="AH30" i="8"/>
  <c r="F20" i="7"/>
  <c r="C27" i="17" l="1"/>
  <c r="D27" i="17" s="1"/>
  <c r="F54" i="92"/>
  <c r="K38" i="92"/>
  <c r="K43" i="92" s="1"/>
  <c r="J38" i="92"/>
  <c r="E53" i="92" s="1"/>
  <c r="C212" i="8"/>
  <c r="B213" i="8" s="1"/>
  <c r="D212" i="8"/>
  <c r="C280" i="8"/>
  <c r="B281" i="8" s="1"/>
  <c r="D280" i="8"/>
  <c r="C314" i="8"/>
  <c r="B315" i="8" s="1"/>
  <c r="D314" i="8"/>
  <c r="C110" i="8"/>
  <c r="B111" i="8" s="1"/>
  <c r="D110" i="8"/>
  <c r="C144" i="8"/>
  <c r="B145" i="8" s="1"/>
  <c r="D144" i="8"/>
  <c r="C42" i="8"/>
  <c r="B43" i="8" s="1"/>
  <c r="D42" i="8"/>
  <c r="C76" i="8"/>
  <c r="B77" i="8" s="1"/>
  <c r="D76" i="8"/>
  <c r="C246" i="8"/>
  <c r="B247" i="8" s="1"/>
  <c r="D246" i="8"/>
  <c r="C178" i="8"/>
  <c r="B179" i="8" s="1"/>
  <c r="D178" i="8"/>
  <c r="E56" i="16"/>
  <c r="D56" i="16"/>
  <c r="M61" i="15"/>
  <c r="M49" i="15"/>
  <c r="M13" i="15"/>
  <c r="M14" i="15" s="1"/>
  <c r="C48" i="15"/>
  <c r="C47" i="15"/>
  <c r="C46" i="15"/>
  <c r="C45" i="15"/>
  <c r="C36" i="15"/>
  <c r="C35" i="15"/>
  <c r="C34" i="15"/>
  <c r="C33" i="15"/>
  <c r="E53" i="16" l="1"/>
  <c r="D53" i="16"/>
  <c r="M50" i="15"/>
  <c r="F53" i="92"/>
  <c r="F56" i="92"/>
  <c r="F55" i="92"/>
  <c r="G55" i="92" s="1"/>
  <c r="K44" i="92"/>
  <c r="J43" i="92"/>
  <c r="E58" i="92" s="1"/>
  <c r="C247" i="8"/>
  <c r="B248" i="8" s="1"/>
  <c r="D247" i="8"/>
  <c r="C315" i="8"/>
  <c r="B316" i="8" s="1"/>
  <c r="D315" i="8"/>
  <c r="C77" i="8"/>
  <c r="B78" i="8" s="1"/>
  <c r="D77" i="8"/>
  <c r="C145" i="8"/>
  <c r="B146" i="8" s="1"/>
  <c r="D145" i="8"/>
  <c r="C213" i="8"/>
  <c r="B214" i="8" s="1"/>
  <c r="D213" i="8"/>
  <c r="C179" i="8"/>
  <c r="B180" i="8" s="1"/>
  <c r="D179" i="8"/>
  <c r="C111" i="8"/>
  <c r="B112" i="8" s="1"/>
  <c r="D111" i="8"/>
  <c r="C43" i="8"/>
  <c r="B44" i="8" s="1"/>
  <c r="D43" i="8"/>
  <c r="C281" i="8"/>
  <c r="B282" i="8" s="1"/>
  <c r="D281" i="8"/>
  <c r="M37" i="15"/>
  <c r="M38" i="15" s="1"/>
  <c r="M62" i="15"/>
  <c r="M25" i="15"/>
  <c r="M26" i="15" s="1"/>
  <c r="I67" i="92" l="1"/>
  <c r="F58" i="92"/>
  <c r="G53" i="92"/>
  <c r="K42" i="92"/>
  <c r="K46" i="92" s="1"/>
  <c r="J44" i="92"/>
  <c r="C316" i="8"/>
  <c r="B317" i="8" s="1"/>
  <c r="D316" i="8"/>
  <c r="C180" i="8"/>
  <c r="B181" i="8" s="1"/>
  <c r="D180" i="8"/>
  <c r="C146" i="8"/>
  <c r="B147" i="8" s="1"/>
  <c r="D146" i="8"/>
  <c r="C248" i="8"/>
  <c r="B249" i="8" s="1"/>
  <c r="D248" i="8"/>
  <c r="C282" i="8"/>
  <c r="B283" i="8" s="1"/>
  <c r="D282" i="8"/>
  <c r="C44" i="8"/>
  <c r="B45" i="8" s="1"/>
  <c r="D44" i="8"/>
  <c r="C112" i="8"/>
  <c r="B113" i="8" s="1"/>
  <c r="D112" i="8"/>
  <c r="C214" i="8"/>
  <c r="B215" i="8" s="1"/>
  <c r="D214" i="8"/>
  <c r="C78" i="8"/>
  <c r="B79" i="8" s="1"/>
  <c r="D78" i="8"/>
  <c r="D21" i="15"/>
  <c r="D22" i="15"/>
  <c r="D23" i="15"/>
  <c r="D24" i="15"/>
  <c r="C22" i="15"/>
  <c r="C23" i="15"/>
  <c r="C24" i="15"/>
  <c r="C21" i="15"/>
  <c r="E60" i="92" l="1"/>
  <c r="E59" i="92"/>
  <c r="I68" i="92"/>
  <c r="G58" i="92"/>
  <c r="J42" i="92"/>
  <c r="E57" i="92" s="1"/>
  <c r="G56" i="92"/>
  <c r="C79" i="8"/>
  <c r="B80" i="8" s="1"/>
  <c r="D79" i="8"/>
  <c r="C113" i="8"/>
  <c r="B114" i="8" s="1"/>
  <c r="D113" i="8"/>
  <c r="C283" i="8"/>
  <c r="B284" i="8" s="1"/>
  <c r="D283" i="8"/>
  <c r="C181" i="8"/>
  <c r="B182" i="8" s="1"/>
  <c r="D181" i="8"/>
  <c r="C215" i="8"/>
  <c r="B216" i="8" s="1"/>
  <c r="D215" i="8"/>
  <c r="C45" i="8"/>
  <c r="B46" i="8" s="1"/>
  <c r="D45" i="8"/>
  <c r="C249" i="8"/>
  <c r="B250" i="8" s="1"/>
  <c r="D249" i="8"/>
  <c r="C147" i="8"/>
  <c r="B148" i="8" s="1"/>
  <c r="D147" i="8"/>
  <c r="C317" i="8"/>
  <c r="B318" i="8" s="1"/>
  <c r="D317" i="8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B59" i="16" l="1"/>
  <c r="H7" i="113" s="1"/>
  <c r="J46" i="92"/>
  <c r="F59" i="92"/>
  <c r="C148" i="8"/>
  <c r="B149" i="8" s="1"/>
  <c r="D148" i="8"/>
  <c r="C46" i="8"/>
  <c r="B47" i="8" s="1"/>
  <c r="D46" i="8"/>
  <c r="C182" i="8"/>
  <c r="B183" i="8" s="1"/>
  <c r="D182" i="8"/>
  <c r="C284" i="8"/>
  <c r="B285" i="8" s="1"/>
  <c r="D284" i="8"/>
  <c r="C80" i="8"/>
  <c r="B81" i="8" s="1"/>
  <c r="D80" i="8"/>
  <c r="C318" i="8"/>
  <c r="B319" i="8" s="1"/>
  <c r="D318" i="8"/>
  <c r="C250" i="8"/>
  <c r="B251" i="8" s="1"/>
  <c r="D250" i="8"/>
  <c r="C216" i="8"/>
  <c r="B217" i="8" s="1"/>
  <c r="D216" i="8"/>
  <c r="C114" i="8"/>
  <c r="B115" i="8" s="1"/>
  <c r="D114" i="8"/>
  <c r="D35" i="16"/>
  <c r="D38" i="16" s="1"/>
  <c r="D36" i="16"/>
  <c r="D39" i="16" s="1"/>
  <c r="M36" i="16"/>
  <c r="M39" i="16" s="1"/>
  <c r="M35" i="16"/>
  <c r="M38" i="16" s="1"/>
  <c r="L36" i="16"/>
  <c r="L35" i="16"/>
  <c r="K36" i="16"/>
  <c r="D9" i="17" s="1"/>
  <c r="K35" i="16"/>
  <c r="C9" i="17" s="1"/>
  <c r="J36" i="16"/>
  <c r="D8" i="17" s="1"/>
  <c r="J35" i="16"/>
  <c r="C8" i="17" s="1"/>
  <c r="I36" i="16"/>
  <c r="D7" i="17" s="1"/>
  <c r="I35" i="16"/>
  <c r="C7" i="17" s="1"/>
  <c r="G36" i="16"/>
  <c r="G39" i="16" s="1"/>
  <c r="G35" i="16"/>
  <c r="G38" i="16" s="1"/>
  <c r="F36" i="16"/>
  <c r="F39" i="16" s="1"/>
  <c r="F35" i="16"/>
  <c r="F38" i="16" s="1"/>
  <c r="E36" i="16"/>
  <c r="E35" i="16"/>
  <c r="I69" i="92" l="1"/>
  <c r="G59" i="92"/>
  <c r="F60" i="92"/>
  <c r="G60" i="92" s="1"/>
  <c r="G54" i="92"/>
  <c r="F57" i="92"/>
  <c r="G57" i="92" s="1"/>
  <c r="C251" i="8"/>
  <c r="B252" i="8" s="1"/>
  <c r="D251" i="8"/>
  <c r="C81" i="8"/>
  <c r="B82" i="8" s="1"/>
  <c r="D81" i="8"/>
  <c r="C149" i="8"/>
  <c r="B150" i="8" s="1"/>
  <c r="D149" i="8"/>
  <c r="C115" i="8"/>
  <c r="B116" i="8" s="1"/>
  <c r="D115" i="8"/>
  <c r="C217" i="8"/>
  <c r="B218" i="8" s="1"/>
  <c r="D217" i="8"/>
  <c r="C183" i="8"/>
  <c r="B184" i="8" s="1"/>
  <c r="D183" i="8"/>
  <c r="C319" i="8"/>
  <c r="B320" i="8" s="1"/>
  <c r="D319" i="8"/>
  <c r="C285" i="8"/>
  <c r="B286" i="8" s="1"/>
  <c r="D285" i="8"/>
  <c r="C47" i="8"/>
  <c r="B48" i="8" s="1"/>
  <c r="D47" i="8"/>
  <c r="E38" i="16"/>
  <c r="E47" i="16" s="1"/>
  <c r="E39" i="16"/>
  <c r="C10" i="17"/>
  <c r="E11" i="17"/>
  <c r="D10" i="17"/>
  <c r="F11" i="17"/>
  <c r="I39" i="16"/>
  <c r="J44" i="16"/>
  <c r="K44" i="16" s="1"/>
  <c r="K39" i="16"/>
  <c r="J46" i="16"/>
  <c r="M46" i="16" s="1"/>
  <c r="L39" i="16"/>
  <c r="J47" i="16"/>
  <c r="M47" i="16" s="1"/>
  <c r="J39" i="16"/>
  <c r="J45" i="16"/>
  <c r="K45" i="16" s="1"/>
  <c r="C45" i="16"/>
  <c r="D45" i="16" s="1"/>
  <c r="J38" i="16"/>
  <c r="K38" i="16"/>
  <c r="C46" i="16"/>
  <c r="F46" i="16" s="1"/>
  <c r="C47" i="16"/>
  <c r="F47" i="16" s="1"/>
  <c r="L38" i="16"/>
  <c r="C44" i="16"/>
  <c r="D44" i="16" s="1"/>
  <c r="I38" i="16"/>
  <c r="J53" i="7"/>
  <c r="J55" i="7" s="1"/>
  <c r="L46" i="16" l="1"/>
  <c r="E45" i="16"/>
  <c r="L47" i="16"/>
  <c r="L45" i="16"/>
  <c r="E46" i="16"/>
  <c r="E55" i="16"/>
  <c r="D55" i="16"/>
  <c r="D54" i="16"/>
  <c r="G10" i="15" s="1"/>
  <c r="J10" i="15" s="1"/>
  <c r="C320" i="8"/>
  <c r="B321" i="8" s="1"/>
  <c r="D320" i="8"/>
  <c r="C252" i="8"/>
  <c r="B253" i="8" s="1"/>
  <c r="D252" i="8"/>
  <c r="C184" i="8"/>
  <c r="B185" i="8" s="1"/>
  <c r="D184" i="8"/>
  <c r="C218" i="8"/>
  <c r="B219" i="8" s="1"/>
  <c r="D218" i="8"/>
  <c r="C82" i="8"/>
  <c r="B83" i="8" s="1"/>
  <c r="D82" i="8"/>
  <c r="C286" i="8"/>
  <c r="B287" i="8" s="1"/>
  <c r="D286" i="8"/>
  <c r="C150" i="8"/>
  <c r="B151" i="8" s="1"/>
  <c r="D150" i="8"/>
  <c r="C48" i="8"/>
  <c r="B49" i="8" s="1"/>
  <c r="D48" i="8"/>
  <c r="C116" i="8"/>
  <c r="B117" i="8" s="1"/>
  <c r="D116" i="8"/>
  <c r="K46" i="16"/>
  <c r="D46" i="16"/>
  <c r="D47" i="16"/>
  <c r="G47" i="16"/>
  <c r="N47" i="16"/>
  <c r="K47" i="16"/>
  <c r="H71" i="14"/>
  <c r="G71" i="14"/>
  <c r="F71" i="14"/>
  <c r="E71" i="14"/>
  <c r="D71" i="14"/>
  <c r="H53" i="14"/>
  <c r="F53" i="14"/>
  <c r="I65" i="14"/>
  <c r="H65" i="14"/>
  <c r="G65" i="14"/>
  <c r="E65" i="14"/>
  <c r="D65" i="14"/>
  <c r="C65" i="14"/>
  <c r="H59" i="14"/>
  <c r="G59" i="14"/>
  <c r="F59" i="14"/>
  <c r="E53" i="14"/>
  <c r="G53" i="14"/>
  <c r="E59" i="14"/>
  <c r="F29" i="14"/>
  <c r="F28" i="14"/>
  <c r="F27" i="14"/>
  <c r="F26" i="14"/>
  <c r="F25" i="14"/>
  <c r="F24" i="14"/>
  <c r="D59" i="14"/>
  <c r="C59" i="14"/>
  <c r="D53" i="14"/>
  <c r="C47" i="14"/>
  <c r="C46" i="14"/>
  <c r="C45" i="14"/>
  <c r="C44" i="14"/>
  <c r="C43" i="14"/>
  <c r="C42" i="14"/>
  <c r="S10" i="14"/>
  <c r="S12" i="14" s="1"/>
  <c r="S14" i="14" s="1"/>
  <c r="H72" i="14" s="1"/>
  <c r="R10" i="14"/>
  <c r="R12" i="14" s="1"/>
  <c r="R14" i="14" s="1"/>
  <c r="G72" i="14" s="1"/>
  <c r="D10" i="14"/>
  <c r="D12" i="14" s="1"/>
  <c r="D14" i="14" s="1"/>
  <c r="C66" i="14" s="1"/>
  <c r="E10" i="14"/>
  <c r="E12" i="14" s="1"/>
  <c r="E14" i="14" s="1"/>
  <c r="D66" i="14" s="1"/>
  <c r="F10" i="14"/>
  <c r="F12" i="14" s="1"/>
  <c r="F14" i="14" s="1"/>
  <c r="C72" i="14" s="1"/>
  <c r="G10" i="14"/>
  <c r="G12" i="14" s="1"/>
  <c r="G14" i="14" s="1"/>
  <c r="D72" i="14" s="1"/>
  <c r="H10" i="14"/>
  <c r="H12" i="14" s="1"/>
  <c r="H14" i="14" s="1"/>
  <c r="E60" i="14" s="1"/>
  <c r="I10" i="14"/>
  <c r="I12" i="14" s="1"/>
  <c r="I14" i="14" s="1"/>
  <c r="F66" i="14" s="1"/>
  <c r="J10" i="14"/>
  <c r="J12" i="14" s="1"/>
  <c r="J14" i="14" s="1"/>
  <c r="F60" i="14" s="1"/>
  <c r="K10" i="14"/>
  <c r="K12" i="14" s="1"/>
  <c r="K14" i="14" s="1"/>
  <c r="G60" i="14" s="1"/>
  <c r="L10" i="14"/>
  <c r="L12" i="14" s="1"/>
  <c r="L14" i="14" s="1"/>
  <c r="H66" i="14" s="1"/>
  <c r="M10" i="14"/>
  <c r="M12" i="14" s="1"/>
  <c r="M14" i="14" s="1"/>
  <c r="H60" i="14" s="1"/>
  <c r="N10" i="14"/>
  <c r="N12" i="14" s="1"/>
  <c r="N14" i="14" s="1"/>
  <c r="D60" i="14" s="1"/>
  <c r="O10" i="14"/>
  <c r="O12" i="14" s="1"/>
  <c r="O14" i="14" s="1"/>
  <c r="I54" i="14" s="1"/>
  <c r="P10" i="14"/>
  <c r="P12" i="14" s="1"/>
  <c r="P14" i="14" s="1"/>
  <c r="E72" i="14" s="1"/>
  <c r="Q10" i="14"/>
  <c r="Q12" i="14" s="1"/>
  <c r="Q14" i="14" s="1"/>
  <c r="F72" i="14" s="1"/>
  <c r="C10" i="14"/>
  <c r="C12" i="14" s="1"/>
  <c r="C14" i="14" s="1"/>
  <c r="C54" i="14" s="1"/>
  <c r="G120" i="12"/>
  <c r="E54" i="16" l="1"/>
  <c r="H58" i="15" s="1"/>
  <c r="K58" i="15" s="1"/>
  <c r="C151" i="8"/>
  <c r="B152" i="8" s="1"/>
  <c r="D151" i="8"/>
  <c r="C287" i="8"/>
  <c r="B288" i="8" s="1"/>
  <c r="D287" i="8"/>
  <c r="C219" i="8"/>
  <c r="B220" i="8" s="1"/>
  <c r="D219" i="8"/>
  <c r="C185" i="8"/>
  <c r="B186" i="8" s="1"/>
  <c r="D185" i="8"/>
  <c r="C321" i="8"/>
  <c r="B322" i="8" s="1"/>
  <c r="D321" i="8"/>
  <c r="C49" i="8"/>
  <c r="B50" i="8" s="1"/>
  <c r="D49" i="8"/>
  <c r="C83" i="8"/>
  <c r="B84" i="8" s="1"/>
  <c r="D83" i="8"/>
  <c r="C253" i="8"/>
  <c r="B254" i="8" s="1"/>
  <c r="D253" i="8"/>
  <c r="C117" i="8"/>
  <c r="B118" i="8" s="1"/>
  <c r="D117" i="8"/>
  <c r="H23" i="15"/>
  <c r="D47" i="15"/>
  <c r="E33" i="15"/>
  <c r="I59" i="14"/>
  <c r="J59" i="14"/>
  <c r="J65" i="14"/>
  <c r="L65" i="14"/>
  <c r="K53" i="14"/>
  <c r="K65" i="14"/>
  <c r="K59" i="14"/>
  <c r="I53" i="14"/>
  <c r="J53" i="14"/>
  <c r="H60" i="15"/>
  <c r="K60" i="15" s="1"/>
  <c r="H24" i="15"/>
  <c r="H12" i="15"/>
  <c r="E48" i="15"/>
  <c r="E36" i="15"/>
  <c r="G60" i="15"/>
  <c r="J60" i="15" s="1"/>
  <c r="G24" i="15"/>
  <c r="G12" i="15"/>
  <c r="D48" i="15"/>
  <c r="D36" i="15"/>
  <c r="G58" i="15"/>
  <c r="J58" i="15" s="1"/>
  <c r="G22" i="15"/>
  <c r="D46" i="15"/>
  <c r="D34" i="15"/>
  <c r="L66" i="14"/>
  <c r="I66" i="14"/>
  <c r="K66" i="14"/>
  <c r="E66" i="14"/>
  <c r="G66" i="14"/>
  <c r="F54" i="14"/>
  <c r="H54" i="14"/>
  <c r="K54" i="14"/>
  <c r="J66" i="14"/>
  <c r="K60" i="14"/>
  <c r="D54" i="14"/>
  <c r="I60" i="14"/>
  <c r="G54" i="14"/>
  <c r="J54" i="14"/>
  <c r="C60" i="14"/>
  <c r="J60" i="14"/>
  <c r="E54" i="14"/>
  <c r="C49" i="14"/>
  <c r="L135" i="12"/>
  <c r="J139" i="12"/>
  <c r="I138" i="12"/>
  <c r="C127" i="12" s="1"/>
  <c r="H137" i="12"/>
  <c r="C124" i="12" s="1"/>
  <c r="G136" i="12"/>
  <c r="C121" i="12" s="1"/>
  <c r="N120" i="12"/>
  <c r="C118" i="12"/>
  <c r="C254" i="8" l="1"/>
  <c r="B255" i="8" s="1"/>
  <c r="D254" i="8"/>
  <c r="C50" i="8"/>
  <c r="B51" i="8" s="1"/>
  <c r="D50" i="8"/>
  <c r="C186" i="8"/>
  <c r="B187" i="8" s="1"/>
  <c r="D186" i="8"/>
  <c r="C288" i="8"/>
  <c r="B289" i="8" s="1"/>
  <c r="D288" i="8"/>
  <c r="C118" i="8"/>
  <c r="B119" i="8" s="1"/>
  <c r="D118" i="8"/>
  <c r="C84" i="8"/>
  <c r="B85" i="8" s="1"/>
  <c r="D84" i="8"/>
  <c r="C322" i="8"/>
  <c r="B323" i="8" s="1"/>
  <c r="D322" i="8"/>
  <c r="C220" i="8"/>
  <c r="B221" i="8" s="1"/>
  <c r="D220" i="8"/>
  <c r="C152" i="8"/>
  <c r="B153" i="8" s="1"/>
  <c r="D152" i="8"/>
  <c r="G11" i="15"/>
  <c r="J11" i="15" s="1"/>
  <c r="R7" i="15" s="1"/>
  <c r="G23" i="15"/>
  <c r="J23" i="15" s="1"/>
  <c r="R19" i="15" s="1"/>
  <c r="G59" i="15"/>
  <c r="D35" i="15"/>
  <c r="Q55" i="15"/>
  <c r="X55" i="15"/>
  <c r="S55" i="15"/>
  <c r="S60" i="15" s="1"/>
  <c r="Z55" i="15"/>
  <c r="Z60" i="15" s="1"/>
  <c r="K24" i="15"/>
  <c r="Z19" i="15" s="1"/>
  <c r="Z24" i="15" s="1"/>
  <c r="J12" i="15"/>
  <c r="S7" i="15" s="1"/>
  <c r="S12" i="15" s="1"/>
  <c r="K12" i="15"/>
  <c r="Z7" i="15" s="1"/>
  <c r="Z12" i="15" s="1"/>
  <c r="J24" i="15"/>
  <c r="S19" i="15" s="1"/>
  <c r="S24" i="15" s="1"/>
  <c r="K23" i="15"/>
  <c r="Y19" i="15" s="1"/>
  <c r="Q7" i="15"/>
  <c r="J22" i="15"/>
  <c r="Q19" i="15" s="1"/>
  <c r="E35" i="15"/>
  <c r="E47" i="15"/>
  <c r="H59" i="15"/>
  <c r="K59" i="15" s="1"/>
  <c r="H11" i="15"/>
  <c r="D45" i="15"/>
  <c r="G9" i="15"/>
  <c r="J9" i="15" s="1"/>
  <c r="H57" i="15"/>
  <c r="K57" i="15" s="1"/>
  <c r="H21" i="15"/>
  <c r="H9" i="15"/>
  <c r="K9" i="15" s="1"/>
  <c r="E45" i="15"/>
  <c r="G57" i="15"/>
  <c r="J57" i="15" s="1"/>
  <c r="D33" i="15"/>
  <c r="G21" i="15"/>
  <c r="E34" i="15"/>
  <c r="E46" i="15"/>
  <c r="H10" i="15"/>
  <c r="K10" i="15" s="1"/>
  <c r="H22" i="15"/>
  <c r="C130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G9" i="12"/>
  <c r="H9" i="12"/>
  <c r="I9" i="12"/>
  <c r="F9" i="12"/>
  <c r="C221" i="8" l="1"/>
  <c r="B222" i="8" s="1"/>
  <c r="D221" i="8"/>
  <c r="C85" i="8"/>
  <c r="B86" i="8" s="1"/>
  <c r="D85" i="8"/>
  <c r="C289" i="8"/>
  <c r="B290" i="8" s="1"/>
  <c r="D289" i="8"/>
  <c r="C51" i="8"/>
  <c r="B52" i="8" s="1"/>
  <c r="D51" i="8"/>
  <c r="C153" i="8"/>
  <c r="B154" i="8" s="1"/>
  <c r="D153" i="8"/>
  <c r="C323" i="8"/>
  <c r="B324" i="8" s="1"/>
  <c r="D323" i="8"/>
  <c r="C119" i="8"/>
  <c r="B120" i="8" s="1"/>
  <c r="D119" i="8"/>
  <c r="C187" i="8"/>
  <c r="B188" i="8" s="1"/>
  <c r="D187" i="8"/>
  <c r="C255" i="8"/>
  <c r="B256" i="8" s="1"/>
  <c r="D255" i="8"/>
  <c r="J59" i="15"/>
  <c r="R55" i="15" s="1"/>
  <c r="X59" i="15"/>
  <c r="X60" i="15"/>
  <c r="X58" i="15"/>
  <c r="Q58" i="15"/>
  <c r="Q59" i="15"/>
  <c r="Q60" i="15"/>
  <c r="P55" i="15"/>
  <c r="Y55" i="15"/>
  <c r="Y60" i="15" s="1"/>
  <c r="W55" i="15"/>
  <c r="Q23" i="15"/>
  <c r="Q22" i="15"/>
  <c r="Y23" i="15"/>
  <c r="Y24" i="15"/>
  <c r="R24" i="15"/>
  <c r="R23" i="15"/>
  <c r="R11" i="15"/>
  <c r="R12" i="15"/>
  <c r="P7" i="15"/>
  <c r="Q24" i="15"/>
  <c r="K11" i="15"/>
  <c r="Y7" i="15" s="1"/>
  <c r="J21" i="15"/>
  <c r="W7" i="15"/>
  <c r="K21" i="15"/>
  <c r="W19" i="15" s="1"/>
  <c r="X7" i="15"/>
  <c r="K22" i="15"/>
  <c r="X19" i="15" s="1"/>
  <c r="Q12" i="15"/>
  <c r="Q10" i="15"/>
  <c r="Q11" i="15"/>
  <c r="J33" i="15"/>
  <c r="K48" i="15"/>
  <c r="Z43" i="15" s="1"/>
  <c r="Z48" i="15" s="1"/>
  <c r="P19" i="15" l="1"/>
  <c r="P23" i="15" s="1"/>
  <c r="C188" i="8"/>
  <c r="B189" i="8" s="1"/>
  <c r="D188" i="8"/>
  <c r="C324" i="8"/>
  <c r="B325" i="8" s="1"/>
  <c r="D324" i="8"/>
  <c r="C52" i="8"/>
  <c r="B53" i="8" s="1"/>
  <c r="D52" i="8"/>
  <c r="C86" i="8"/>
  <c r="B87" i="8" s="1"/>
  <c r="D86" i="8"/>
  <c r="C256" i="8"/>
  <c r="B257" i="8" s="1"/>
  <c r="D256" i="8"/>
  <c r="C120" i="8"/>
  <c r="B121" i="8" s="1"/>
  <c r="D120" i="8"/>
  <c r="C154" i="8"/>
  <c r="B155" i="8" s="1"/>
  <c r="D154" i="8"/>
  <c r="C290" i="8"/>
  <c r="B291" i="8" s="1"/>
  <c r="D290" i="8"/>
  <c r="C222" i="8"/>
  <c r="B223" i="8" s="1"/>
  <c r="D222" i="8"/>
  <c r="R60" i="15"/>
  <c r="R59" i="15"/>
  <c r="P58" i="15"/>
  <c r="P59" i="15"/>
  <c r="P57" i="15"/>
  <c r="P60" i="15"/>
  <c r="W58" i="15"/>
  <c r="W57" i="15"/>
  <c r="W60" i="15"/>
  <c r="W59" i="15"/>
  <c r="Y59" i="15"/>
  <c r="K35" i="15"/>
  <c r="Y31" i="15" s="1"/>
  <c r="Y35" i="15" s="1"/>
  <c r="P31" i="15"/>
  <c r="W23" i="15"/>
  <c r="W24" i="15"/>
  <c r="W22" i="15"/>
  <c r="P9" i="15"/>
  <c r="P11" i="15"/>
  <c r="P12" i="15"/>
  <c r="P10" i="15"/>
  <c r="Y11" i="15"/>
  <c r="Y12" i="15"/>
  <c r="X22" i="15"/>
  <c r="X24" i="15"/>
  <c r="W9" i="15"/>
  <c r="W11" i="15"/>
  <c r="W12" i="15"/>
  <c r="W10" i="15"/>
  <c r="W21" i="15"/>
  <c r="X12" i="15"/>
  <c r="X11" i="15"/>
  <c r="X10" i="15"/>
  <c r="X23" i="15"/>
  <c r="J35" i="15"/>
  <c r="R31" i="15" s="1"/>
  <c r="R35" i="15" s="1"/>
  <c r="K36" i="15"/>
  <c r="Z31" i="15" s="1"/>
  <c r="Z36" i="15" s="1"/>
  <c r="K34" i="15"/>
  <c r="X31" i="15" s="1"/>
  <c r="X34" i="15" s="1"/>
  <c r="J36" i="15"/>
  <c r="S31" i="15" s="1"/>
  <c r="S36" i="15" s="1"/>
  <c r="K33" i="15"/>
  <c r="W31" i="15" s="1"/>
  <c r="J34" i="15"/>
  <c r="Q31" i="15" s="1"/>
  <c r="Q35" i="15" s="1"/>
  <c r="J46" i="15"/>
  <c r="Q43" i="15" s="1"/>
  <c r="Q46" i="15" s="1"/>
  <c r="K46" i="15"/>
  <c r="X43" i="15" s="1"/>
  <c r="X46" i="15" s="1"/>
  <c r="K45" i="15"/>
  <c r="W43" i="15" s="1"/>
  <c r="J45" i="15"/>
  <c r="J48" i="15"/>
  <c r="S43" i="15" s="1"/>
  <c r="S48" i="15" s="1"/>
  <c r="J47" i="15"/>
  <c r="R43" i="15" s="1"/>
  <c r="R48" i="15" s="1"/>
  <c r="K47" i="15"/>
  <c r="Y43" i="15" s="1"/>
  <c r="Y48" i="15" s="1"/>
  <c r="P24" i="15" l="1"/>
  <c r="P21" i="15"/>
  <c r="P22" i="15"/>
  <c r="P43" i="15"/>
  <c r="P47" i="15" s="1"/>
  <c r="L47" i="2"/>
  <c r="C291" i="8"/>
  <c r="B292" i="8" s="1"/>
  <c r="D291" i="8"/>
  <c r="C121" i="8"/>
  <c r="B122" i="8" s="1"/>
  <c r="D121" i="8"/>
  <c r="C87" i="8"/>
  <c r="B88" i="8" s="1"/>
  <c r="D87" i="8"/>
  <c r="C325" i="8"/>
  <c r="B326" i="8" s="1"/>
  <c r="D325" i="8"/>
  <c r="C223" i="8"/>
  <c r="B224" i="8" s="1"/>
  <c r="D223" i="8"/>
  <c r="C155" i="8"/>
  <c r="B156" i="8" s="1"/>
  <c r="D155" i="8"/>
  <c r="C257" i="8"/>
  <c r="B258" i="8" s="1"/>
  <c r="D257" i="8"/>
  <c r="C53" i="8"/>
  <c r="B54" i="8" s="1"/>
  <c r="D53" i="8"/>
  <c r="C189" i="8"/>
  <c r="B190" i="8" s="1"/>
  <c r="D189" i="8"/>
  <c r="T55" i="15"/>
  <c r="T60" i="15" s="1"/>
  <c r="AA55" i="15"/>
  <c r="AA58" i="15" s="1"/>
  <c r="AA7" i="15"/>
  <c r="AA19" i="15"/>
  <c r="AA22" i="15" s="1"/>
  <c r="T7" i="15"/>
  <c r="T10" i="15" s="1"/>
  <c r="Y36" i="15"/>
  <c r="W48" i="15"/>
  <c r="AA43" i="15"/>
  <c r="P34" i="15"/>
  <c r="W34" i="15"/>
  <c r="R36" i="15"/>
  <c r="W45" i="15"/>
  <c r="X35" i="15"/>
  <c r="X36" i="15"/>
  <c r="Q36" i="15"/>
  <c r="W33" i="15"/>
  <c r="W35" i="15"/>
  <c r="W36" i="15"/>
  <c r="P33" i="15"/>
  <c r="P36" i="15"/>
  <c r="Q34" i="15"/>
  <c r="P35" i="15"/>
  <c r="X47" i="15"/>
  <c r="X48" i="15"/>
  <c r="Q48" i="15"/>
  <c r="Q47" i="15"/>
  <c r="W46" i="15"/>
  <c r="W47" i="15"/>
  <c r="Y47" i="15"/>
  <c r="R47" i="15"/>
  <c r="D10" i="6"/>
  <c r="E10" i="6"/>
  <c r="F10" i="6"/>
  <c r="G10" i="6"/>
  <c r="H10" i="6"/>
  <c r="I10" i="6"/>
  <c r="J10" i="6"/>
  <c r="K10" i="6"/>
  <c r="L10" i="6"/>
  <c r="M10" i="6"/>
  <c r="N10" i="6"/>
  <c r="C10" i="6"/>
  <c r="T19" i="15" l="1"/>
  <c r="T22" i="15" s="1"/>
  <c r="P46" i="15"/>
  <c r="P45" i="15"/>
  <c r="T43" i="15"/>
  <c r="P48" i="15"/>
  <c r="C5" i="11"/>
  <c r="L68" i="15"/>
  <c r="M68" i="15"/>
  <c r="C54" i="8"/>
  <c r="B55" i="8" s="1"/>
  <c r="D54" i="8"/>
  <c r="C156" i="8"/>
  <c r="B157" i="8" s="1"/>
  <c r="D156" i="8"/>
  <c r="C326" i="8"/>
  <c r="B327" i="8" s="1"/>
  <c r="D326" i="8"/>
  <c r="C122" i="8"/>
  <c r="B123" i="8" s="1"/>
  <c r="D122" i="8"/>
  <c r="C190" i="8"/>
  <c r="B191" i="8" s="1"/>
  <c r="D190" i="8"/>
  <c r="C258" i="8"/>
  <c r="B259" i="8" s="1"/>
  <c r="D258" i="8"/>
  <c r="C224" i="8"/>
  <c r="B225" i="8" s="1"/>
  <c r="D224" i="8"/>
  <c r="C88" i="8"/>
  <c r="B89" i="8" s="1"/>
  <c r="D88" i="8"/>
  <c r="C292" i="8"/>
  <c r="B293" i="8" s="1"/>
  <c r="D292" i="8"/>
  <c r="C68" i="15"/>
  <c r="E70" i="15"/>
  <c r="AA21" i="15"/>
  <c r="AA24" i="15"/>
  <c r="AA23" i="15"/>
  <c r="AA47" i="15"/>
  <c r="AA46" i="15"/>
  <c r="AA45" i="15"/>
  <c r="AA48" i="15"/>
  <c r="AA57" i="15"/>
  <c r="AA59" i="15"/>
  <c r="T57" i="15"/>
  <c r="AA60" i="15"/>
  <c r="N82" i="101" s="1"/>
  <c r="T59" i="15"/>
  <c r="T58" i="15"/>
  <c r="AA11" i="15"/>
  <c r="AA9" i="15"/>
  <c r="T12" i="15"/>
  <c r="AA10" i="15"/>
  <c r="T9" i="15"/>
  <c r="AA12" i="15"/>
  <c r="T11" i="15"/>
  <c r="AA31" i="15"/>
  <c r="AA35" i="15" s="1"/>
  <c r="T31" i="15"/>
  <c r="T35" i="15" s="1"/>
  <c r="D17" i="6"/>
  <c r="E17" i="6"/>
  <c r="F17" i="6"/>
  <c r="G17" i="6"/>
  <c r="H17" i="6"/>
  <c r="I17" i="6"/>
  <c r="J17" i="6"/>
  <c r="K17" i="6"/>
  <c r="L17" i="6"/>
  <c r="M17" i="6"/>
  <c r="N17" i="6"/>
  <c r="C17" i="6"/>
  <c r="C6" i="9"/>
  <c r="B7" i="8"/>
  <c r="G12" i="4"/>
  <c r="G11" i="4"/>
  <c r="F19" i="17" s="1"/>
  <c r="H19" i="17" s="1"/>
  <c r="G19" i="17" s="1"/>
  <c r="G10" i="4"/>
  <c r="F18" i="17" s="1"/>
  <c r="H18" i="17" s="1"/>
  <c r="G9" i="4"/>
  <c r="F17" i="17" s="1"/>
  <c r="H17" i="17" s="1"/>
  <c r="G17" i="17" s="1"/>
  <c r="N71" i="101" l="1"/>
  <c r="N40" i="101"/>
  <c r="N46" i="101"/>
  <c r="N43" i="101"/>
  <c r="K45" i="101"/>
  <c r="K41" i="101"/>
  <c r="N83" i="101"/>
  <c r="N65" i="101"/>
  <c r="N45" i="101"/>
  <c r="N41" i="101"/>
  <c r="N77" i="101"/>
  <c r="N64" i="101"/>
  <c r="J43" i="101"/>
  <c r="J46" i="101"/>
  <c r="J40" i="101"/>
  <c r="M41" i="101"/>
  <c r="M45" i="101"/>
  <c r="J76" i="101"/>
  <c r="J64" i="101"/>
  <c r="J82" i="101"/>
  <c r="J70" i="101"/>
  <c r="J83" i="101"/>
  <c r="J71" i="101"/>
  <c r="J77" i="101"/>
  <c r="J65" i="101"/>
  <c r="N76" i="101"/>
  <c r="L40" i="101"/>
  <c r="L43" i="101"/>
  <c r="L46" i="101"/>
  <c r="J45" i="101"/>
  <c r="J41" i="101"/>
  <c r="N70" i="101"/>
  <c r="L45" i="101"/>
  <c r="L41" i="101"/>
  <c r="D68" i="15"/>
  <c r="T23" i="15"/>
  <c r="T21" i="15"/>
  <c r="D76" i="15"/>
  <c r="T24" i="15"/>
  <c r="T46" i="15"/>
  <c r="T45" i="15"/>
  <c r="G67" i="15" s="1"/>
  <c r="T47" i="15"/>
  <c r="T48" i="15"/>
  <c r="F20" i="17"/>
  <c r="H20" i="17" s="1"/>
  <c r="G20" i="17" s="1"/>
  <c r="M21" i="17" s="1"/>
  <c r="C67" i="15"/>
  <c r="K67" i="15"/>
  <c r="C7" i="11"/>
  <c r="C8" i="11"/>
  <c r="L67" i="15"/>
  <c r="M69" i="15"/>
  <c r="M67" i="15"/>
  <c r="O67" i="15"/>
  <c r="O70" i="15"/>
  <c r="N69" i="15"/>
  <c r="O69" i="15"/>
  <c r="O68" i="15"/>
  <c r="L69" i="15"/>
  <c r="M70" i="15"/>
  <c r="L70" i="15"/>
  <c r="T62" i="15"/>
  <c r="E71" i="15" s="1"/>
  <c r="J47" i="2" s="1"/>
  <c r="C89" i="8"/>
  <c r="B90" i="8" s="1"/>
  <c r="D89" i="8"/>
  <c r="C259" i="8"/>
  <c r="B260" i="8" s="1"/>
  <c r="D259" i="8"/>
  <c r="C123" i="8"/>
  <c r="B124" i="8" s="1"/>
  <c r="D123" i="8"/>
  <c r="C157" i="8"/>
  <c r="B158" i="8" s="1"/>
  <c r="D157" i="8"/>
  <c r="C7" i="8"/>
  <c r="B8" i="8" s="1"/>
  <c r="D7" i="8"/>
  <c r="C293" i="8"/>
  <c r="B294" i="8" s="1"/>
  <c r="D293" i="8"/>
  <c r="C225" i="8"/>
  <c r="B226" i="8" s="1"/>
  <c r="D225" i="8"/>
  <c r="C191" i="8"/>
  <c r="B192" i="8" s="1"/>
  <c r="D191" i="8"/>
  <c r="C327" i="8"/>
  <c r="B328" i="8" s="1"/>
  <c r="D327" i="8"/>
  <c r="C55" i="8"/>
  <c r="B56" i="8" s="1"/>
  <c r="D55" i="8"/>
  <c r="K75" i="15"/>
  <c r="M75" i="15"/>
  <c r="C75" i="15"/>
  <c r="E75" i="15"/>
  <c r="E67" i="15"/>
  <c r="K68" i="15"/>
  <c r="C70" i="15"/>
  <c r="C78" i="15"/>
  <c r="E78" i="15"/>
  <c r="K70" i="15"/>
  <c r="F77" i="15"/>
  <c r="F69" i="15"/>
  <c r="K69" i="15"/>
  <c r="E76" i="15"/>
  <c r="E68" i="15"/>
  <c r="C76" i="15"/>
  <c r="C69" i="15"/>
  <c r="C77" i="15"/>
  <c r="E77" i="15"/>
  <c r="E69" i="15"/>
  <c r="T33" i="15"/>
  <c r="T36" i="15"/>
  <c r="T34" i="15"/>
  <c r="AA34" i="15"/>
  <c r="AA36" i="15"/>
  <c r="AA33" i="15"/>
  <c r="T14" i="15"/>
  <c r="C71" i="15" s="1"/>
  <c r="H47" i="2" s="1"/>
  <c r="D6" i="9"/>
  <c r="C35" i="9"/>
  <c r="C64" i="9" s="1"/>
  <c r="C93" i="9" s="1"/>
  <c r="G13" i="4"/>
  <c r="B56" i="2" s="1"/>
  <c r="E18" i="17"/>
  <c r="E17" i="17"/>
  <c r="E19" i="17"/>
  <c r="E20" i="17"/>
  <c r="C10" i="11"/>
  <c r="K77" i="101" l="1"/>
  <c r="K65" i="101"/>
  <c r="K83" i="101"/>
  <c r="K71" i="101"/>
  <c r="K82" i="101"/>
  <c r="K70" i="101"/>
  <c r="K76" i="101"/>
  <c r="K64" i="101"/>
  <c r="L77" i="101"/>
  <c r="L65" i="101"/>
  <c r="L71" i="101"/>
  <c r="L83" i="101"/>
  <c r="L76" i="101"/>
  <c r="L64" i="101"/>
  <c r="L82" i="101"/>
  <c r="L70" i="101"/>
  <c r="K43" i="101"/>
  <c r="K46" i="101"/>
  <c r="K40" i="101"/>
  <c r="M82" i="101"/>
  <c r="M70" i="101"/>
  <c r="M76" i="101"/>
  <c r="M64" i="101"/>
  <c r="M83" i="101"/>
  <c r="M71" i="101"/>
  <c r="M77" i="101"/>
  <c r="M65" i="101"/>
  <c r="G77" i="15"/>
  <c r="M46" i="101"/>
  <c r="M43" i="101"/>
  <c r="M40" i="101"/>
  <c r="D69" i="15"/>
  <c r="G76" i="15"/>
  <c r="D75" i="15"/>
  <c r="D67" i="15"/>
  <c r="D77" i="15"/>
  <c r="G68" i="15"/>
  <c r="M20" i="17"/>
  <c r="F21" i="17"/>
  <c r="F22" i="17" s="1"/>
  <c r="D78" i="15"/>
  <c r="D70" i="15"/>
  <c r="L75" i="15"/>
  <c r="T26" i="15"/>
  <c r="D71" i="15" s="1"/>
  <c r="I47" i="2" s="1"/>
  <c r="G78" i="15"/>
  <c r="G70" i="15"/>
  <c r="O75" i="15"/>
  <c r="G75" i="15"/>
  <c r="T50" i="15"/>
  <c r="G71" i="15" s="1"/>
  <c r="G69" i="15"/>
  <c r="L13" i="12"/>
  <c r="L45" i="12"/>
  <c r="L77" i="12"/>
  <c r="L10" i="12"/>
  <c r="L42" i="12"/>
  <c r="L74" i="12"/>
  <c r="L12" i="12"/>
  <c r="L44" i="12"/>
  <c r="L76" i="12"/>
  <c r="L11" i="12"/>
  <c r="L15" i="12"/>
  <c r="L19" i="12"/>
  <c r="L53" i="12"/>
  <c r="L85" i="12"/>
  <c r="L50" i="12"/>
  <c r="L20" i="12"/>
  <c r="L84" i="12"/>
  <c r="L43" i="12"/>
  <c r="L51" i="12"/>
  <c r="L69" i="12"/>
  <c r="L66" i="12"/>
  <c r="L100" i="12"/>
  <c r="L41" i="12"/>
  <c r="L40" i="12"/>
  <c r="L71" i="12"/>
  <c r="L17" i="12"/>
  <c r="L49" i="12"/>
  <c r="L81" i="12"/>
  <c r="L14" i="12"/>
  <c r="L46" i="12"/>
  <c r="L78" i="12"/>
  <c r="L16" i="12"/>
  <c r="L48" i="12"/>
  <c r="L80" i="12"/>
  <c r="L27" i="12"/>
  <c r="L31" i="12"/>
  <c r="L35" i="12"/>
  <c r="L21" i="12"/>
  <c r="L18" i="12"/>
  <c r="L82" i="12"/>
  <c r="L52" i="12"/>
  <c r="L47" i="12"/>
  <c r="L101" i="12"/>
  <c r="L68" i="12"/>
  <c r="L23" i="12"/>
  <c r="L73" i="12"/>
  <c r="L70" i="12"/>
  <c r="L104" i="12"/>
  <c r="L25" i="12"/>
  <c r="L57" i="12"/>
  <c r="L89" i="12"/>
  <c r="L22" i="12"/>
  <c r="L54" i="12"/>
  <c r="L86" i="12"/>
  <c r="L24" i="12"/>
  <c r="L56" i="12"/>
  <c r="L88" i="12"/>
  <c r="L59" i="12"/>
  <c r="L63" i="12"/>
  <c r="L67" i="12"/>
  <c r="L83" i="12"/>
  <c r="L33" i="12"/>
  <c r="L97" i="12"/>
  <c r="L62" i="12"/>
  <c r="L32" i="12"/>
  <c r="L96" i="12"/>
  <c r="L95" i="12"/>
  <c r="L37" i="12"/>
  <c r="L98" i="12"/>
  <c r="L39" i="12"/>
  <c r="L9" i="12"/>
  <c r="L72" i="12"/>
  <c r="L103" i="12"/>
  <c r="L29" i="12"/>
  <c r="L61" i="12"/>
  <c r="L93" i="12"/>
  <c r="L26" i="12"/>
  <c r="L58" i="12"/>
  <c r="L90" i="12"/>
  <c r="L28" i="12"/>
  <c r="L60" i="12"/>
  <c r="L92" i="12"/>
  <c r="L75" i="12"/>
  <c r="L79" i="12"/>
  <c r="L65" i="12"/>
  <c r="L30" i="12"/>
  <c r="L94" i="12"/>
  <c r="L64" i="12"/>
  <c r="L91" i="12"/>
  <c r="L99" i="12"/>
  <c r="L34" i="12"/>
  <c r="L36" i="12"/>
  <c r="L55" i="12"/>
  <c r="L38" i="12"/>
  <c r="L102" i="12"/>
  <c r="L87" i="12"/>
  <c r="N68" i="15"/>
  <c r="P68" i="15" s="1"/>
  <c r="N70" i="15"/>
  <c r="P70" i="15" s="1"/>
  <c r="D47" i="17" s="1"/>
  <c r="P69" i="15"/>
  <c r="C56" i="8"/>
  <c r="B57" i="8" s="1"/>
  <c r="D56" i="8"/>
  <c r="C192" i="8"/>
  <c r="B193" i="8" s="1"/>
  <c r="D192" i="8"/>
  <c r="C294" i="8"/>
  <c r="B295" i="8" s="1"/>
  <c r="D294" i="8"/>
  <c r="C158" i="8"/>
  <c r="B159" i="8" s="1"/>
  <c r="D158" i="8"/>
  <c r="C260" i="8"/>
  <c r="B261" i="8" s="1"/>
  <c r="D260" i="8"/>
  <c r="C328" i="8"/>
  <c r="B329" i="8" s="1"/>
  <c r="D328" i="8"/>
  <c r="C226" i="8"/>
  <c r="B227" i="8" s="1"/>
  <c r="D226" i="8"/>
  <c r="C8" i="8"/>
  <c r="B9" i="8" s="1"/>
  <c r="D8" i="8"/>
  <c r="C124" i="8"/>
  <c r="B125" i="8" s="1"/>
  <c r="D124" i="8"/>
  <c r="C90" i="8"/>
  <c r="B91" i="8" s="1"/>
  <c r="D90" i="8"/>
  <c r="N75" i="15"/>
  <c r="F76" i="15"/>
  <c r="F68" i="15"/>
  <c r="F70" i="15"/>
  <c r="F78" i="15"/>
  <c r="N67" i="15"/>
  <c r="P67" i="15" s="1"/>
  <c r="F75" i="15"/>
  <c r="F67" i="15"/>
  <c r="T38" i="15"/>
  <c r="F71" i="15" s="1"/>
  <c r="K47" i="2" s="1"/>
  <c r="C7" i="9"/>
  <c r="D35" i="9"/>
  <c r="D64" i="9" s="1"/>
  <c r="D93" i="9" s="1"/>
  <c r="C9" i="11"/>
  <c r="C56" i="2" l="1"/>
  <c r="H70" i="15"/>
  <c r="H69" i="15"/>
  <c r="C47" i="17"/>
  <c r="C38" i="17" s="1"/>
  <c r="H68" i="15"/>
  <c r="H67" i="15"/>
  <c r="H49" i="2" s="1"/>
  <c r="H50" i="2" s="1"/>
  <c r="D48" i="17"/>
  <c r="D46" i="17"/>
  <c r="C261" i="8"/>
  <c r="B262" i="8" s="1"/>
  <c r="D261" i="8"/>
  <c r="C295" i="8"/>
  <c r="B296" i="8" s="1"/>
  <c r="D295" i="8"/>
  <c r="C57" i="8"/>
  <c r="B58" i="8" s="1"/>
  <c r="D57" i="8"/>
  <c r="C125" i="8"/>
  <c r="B126" i="8" s="1"/>
  <c r="D125" i="8"/>
  <c r="C227" i="8"/>
  <c r="B228" i="8" s="1"/>
  <c r="D227" i="8"/>
  <c r="C159" i="8"/>
  <c r="B160" i="8" s="1"/>
  <c r="D159" i="8"/>
  <c r="C193" i="8"/>
  <c r="B194" i="8" s="1"/>
  <c r="D193" i="8"/>
  <c r="C91" i="8"/>
  <c r="B92" i="8" s="1"/>
  <c r="D91" i="8"/>
  <c r="C9" i="8"/>
  <c r="B10" i="8" s="1"/>
  <c r="D9" i="8"/>
  <c r="C329" i="8"/>
  <c r="B330" i="8" s="1"/>
  <c r="D329" i="8"/>
  <c r="D45" i="17"/>
  <c r="D44" i="17"/>
  <c r="D7" i="9"/>
  <c r="C36" i="9"/>
  <c r="C65" i="9" s="1"/>
  <c r="C94" i="9" s="1"/>
  <c r="M98" i="12"/>
  <c r="M12" i="12"/>
  <c r="M16" i="12"/>
  <c r="M20" i="12"/>
  <c r="M24" i="12"/>
  <c r="M28" i="12"/>
  <c r="M32" i="12"/>
  <c r="M36" i="12"/>
  <c r="M40" i="12"/>
  <c r="M44" i="12"/>
  <c r="M48" i="12"/>
  <c r="M52" i="12"/>
  <c r="M56" i="12"/>
  <c r="M60" i="12"/>
  <c r="M64" i="12"/>
  <c r="M68" i="12"/>
  <c r="M72" i="12"/>
  <c r="M76" i="12"/>
  <c r="M80" i="12"/>
  <c r="M84" i="12"/>
  <c r="M88" i="12"/>
  <c r="M92" i="12"/>
  <c r="M96" i="12"/>
  <c r="M101" i="12"/>
  <c r="M9" i="12"/>
  <c r="M13" i="12"/>
  <c r="M17" i="12"/>
  <c r="M21" i="12"/>
  <c r="M25" i="12"/>
  <c r="M29" i="12"/>
  <c r="M33" i="12"/>
  <c r="M37" i="12"/>
  <c r="M41" i="12"/>
  <c r="M45" i="12"/>
  <c r="M49" i="12"/>
  <c r="M53" i="12"/>
  <c r="M57" i="12"/>
  <c r="M61" i="12"/>
  <c r="M65" i="12"/>
  <c r="M69" i="12"/>
  <c r="M73" i="12"/>
  <c r="M77" i="12"/>
  <c r="M81" i="12"/>
  <c r="M85" i="12"/>
  <c r="M89" i="12"/>
  <c r="M93" i="12"/>
  <c r="M97" i="12"/>
  <c r="M102" i="12"/>
  <c r="M11" i="12"/>
  <c r="M15" i="12"/>
  <c r="M19" i="12"/>
  <c r="M23" i="12"/>
  <c r="M27" i="12"/>
  <c r="M31" i="12"/>
  <c r="M35" i="12"/>
  <c r="M39" i="12"/>
  <c r="M43" i="12"/>
  <c r="M47" i="12"/>
  <c r="M51" i="12"/>
  <c r="M55" i="12"/>
  <c r="M59" i="12"/>
  <c r="M63" i="12"/>
  <c r="M67" i="12"/>
  <c r="M71" i="12"/>
  <c r="M75" i="12"/>
  <c r="M79" i="12"/>
  <c r="M83" i="12"/>
  <c r="M87" i="12"/>
  <c r="M91" i="12"/>
  <c r="M95" i="12"/>
  <c r="M100" i="12"/>
  <c r="M104" i="12"/>
  <c r="M10" i="12"/>
  <c r="M26" i="12"/>
  <c r="M42" i="12"/>
  <c r="M58" i="12"/>
  <c r="M74" i="12"/>
  <c r="M90" i="12"/>
  <c r="M54" i="12"/>
  <c r="M103" i="12"/>
  <c r="M14" i="12"/>
  <c r="M30" i="12"/>
  <c r="M46" i="12"/>
  <c r="M62" i="12"/>
  <c r="M78" i="12"/>
  <c r="M94" i="12"/>
  <c r="M38" i="12"/>
  <c r="M86" i="12"/>
  <c r="M18" i="12"/>
  <c r="M34" i="12"/>
  <c r="M50" i="12"/>
  <c r="M66" i="12"/>
  <c r="M82" i="12"/>
  <c r="M99" i="12"/>
  <c r="M22" i="12"/>
  <c r="M70" i="12"/>
  <c r="N12" i="12"/>
  <c r="N16" i="12"/>
  <c r="N20" i="12"/>
  <c r="N24" i="12"/>
  <c r="N28" i="12"/>
  <c r="N32" i="12"/>
  <c r="N36" i="12"/>
  <c r="N40" i="12"/>
  <c r="N44" i="12"/>
  <c r="N48" i="12"/>
  <c r="N52" i="12"/>
  <c r="N56" i="12"/>
  <c r="N60" i="12"/>
  <c r="N64" i="12"/>
  <c r="N68" i="12"/>
  <c r="N72" i="12"/>
  <c r="N76" i="12"/>
  <c r="N80" i="12"/>
  <c r="N84" i="12"/>
  <c r="N88" i="12"/>
  <c r="N92" i="12"/>
  <c r="N96" i="12"/>
  <c r="N100" i="12"/>
  <c r="N104" i="12"/>
  <c r="N13" i="12"/>
  <c r="N17" i="12"/>
  <c r="N21" i="12"/>
  <c r="N25" i="12"/>
  <c r="N29" i="12"/>
  <c r="N33" i="12"/>
  <c r="N37" i="12"/>
  <c r="N41" i="12"/>
  <c r="N45" i="12"/>
  <c r="N49" i="12"/>
  <c r="N53" i="12"/>
  <c r="N57" i="12"/>
  <c r="N61" i="12"/>
  <c r="N65" i="12"/>
  <c r="N69" i="12"/>
  <c r="N73" i="12"/>
  <c r="N77" i="12"/>
  <c r="N81" i="12"/>
  <c r="N85" i="12"/>
  <c r="N89" i="12"/>
  <c r="N93" i="12"/>
  <c r="N97" i="12"/>
  <c r="N101" i="12"/>
  <c r="N9" i="12"/>
  <c r="N11" i="12"/>
  <c r="N15" i="12"/>
  <c r="N19" i="12"/>
  <c r="N23" i="12"/>
  <c r="N27" i="12"/>
  <c r="N31" i="12"/>
  <c r="N35" i="12"/>
  <c r="N39" i="12"/>
  <c r="N43" i="12"/>
  <c r="N47" i="12"/>
  <c r="N51" i="12"/>
  <c r="N55" i="12"/>
  <c r="N59" i="12"/>
  <c r="N63" i="12"/>
  <c r="N67" i="12"/>
  <c r="N71" i="12"/>
  <c r="N75" i="12"/>
  <c r="N79" i="12"/>
  <c r="N83" i="12"/>
  <c r="N87" i="12"/>
  <c r="N91" i="12"/>
  <c r="N95" i="12"/>
  <c r="N99" i="12"/>
  <c r="N103" i="12"/>
  <c r="N10" i="12"/>
  <c r="N26" i="12"/>
  <c r="N42" i="12"/>
  <c r="N58" i="12"/>
  <c r="N74" i="12"/>
  <c r="N90" i="12"/>
  <c r="N54" i="12"/>
  <c r="N102" i="12"/>
  <c r="N14" i="12"/>
  <c r="N30" i="12"/>
  <c r="N46" i="12"/>
  <c r="N62" i="12"/>
  <c r="N78" i="12"/>
  <c r="N94" i="12"/>
  <c r="N22" i="12"/>
  <c r="N86" i="12"/>
  <c r="N18" i="12"/>
  <c r="N34" i="12"/>
  <c r="N50" i="12"/>
  <c r="N66" i="12"/>
  <c r="N82" i="12"/>
  <c r="N98" i="12"/>
  <c r="N38" i="12"/>
  <c r="N70" i="12"/>
  <c r="K30" i="12"/>
  <c r="K34" i="12"/>
  <c r="K38" i="12"/>
  <c r="K42" i="12"/>
  <c r="K46" i="12"/>
  <c r="K50" i="12"/>
  <c r="K27" i="12"/>
  <c r="K31" i="12"/>
  <c r="K35" i="12"/>
  <c r="K39" i="12"/>
  <c r="K43" i="12"/>
  <c r="K47" i="12"/>
  <c r="K9" i="12"/>
  <c r="K29" i="12"/>
  <c r="K33" i="12"/>
  <c r="K37" i="12"/>
  <c r="K41" i="12"/>
  <c r="K45" i="12"/>
  <c r="K49" i="12"/>
  <c r="K53" i="12"/>
  <c r="K57" i="12"/>
  <c r="K61" i="12"/>
  <c r="K65" i="12"/>
  <c r="K69" i="12"/>
  <c r="K73" i="12"/>
  <c r="K28" i="12"/>
  <c r="K44" i="12"/>
  <c r="K54" i="12"/>
  <c r="K59" i="12"/>
  <c r="K64" i="12"/>
  <c r="K70" i="12"/>
  <c r="K75" i="12"/>
  <c r="K79" i="12"/>
  <c r="K83" i="12"/>
  <c r="K87" i="12"/>
  <c r="K91" i="12"/>
  <c r="K95" i="12"/>
  <c r="K99" i="12"/>
  <c r="K103" i="12"/>
  <c r="K13" i="12"/>
  <c r="K17" i="12"/>
  <c r="K21" i="12"/>
  <c r="K25" i="12"/>
  <c r="K52" i="12"/>
  <c r="K74" i="12"/>
  <c r="K90" i="12"/>
  <c r="K102" i="12"/>
  <c r="K20" i="12"/>
  <c r="K32" i="12"/>
  <c r="K48" i="12"/>
  <c r="K55" i="12"/>
  <c r="K60" i="12"/>
  <c r="K66" i="12"/>
  <c r="K71" i="12"/>
  <c r="K76" i="12"/>
  <c r="K80" i="12"/>
  <c r="K84" i="12"/>
  <c r="K88" i="12"/>
  <c r="K92" i="12"/>
  <c r="K96" i="12"/>
  <c r="K100" i="12"/>
  <c r="K104" i="12"/>
  <c r="K14" i="12"/>
  <c r="K18" i="12"/>
  <c r="K22" i="12"/>
  <c r="K26" i="12"/>
  <c r="K63" i="12"/>
  <c r="K78" i="12"/>
  <c r="K86" i="12"/>
  <c r="K98" i="12"/>
  <c r="K16" i="12"/>
  <c r="K36" i="12"/>
  <c r="K51" i="12"/>
  <c r="K56" i="12"/>
  <c r="K62" i="12"/>
  <c r="K67" i="12"/>
  <c r="K72" i="12"/>
  <c r="K77" i="12"/>
  <c r="K81" i="12"/>
  <c r="K85" i="12"/>
  <c r="K89" i="12"/>
  <c r="K93" i="12"/>
  <c r="K97" i="12"/>
  <c r="K101" i="12"/>
  <c r="K11" i="12"/>
  <c r="K15" i="12"/>
  <c r="K19" i="12"/>
  <c r="K23" i="12"/>
  <c r="K10" i="12"/>
  <c r="K40" i="12"/>
  <c r="K58" i="12"/>
  <c r="K68" i="12"/>
  <c r="K82" i="12"/>
  <c r="K94" i="12"/>
  <c r="K12" i="12"/>
  <c r="K24" i="12"/>
  <c r="C20" i="7"/>
  <c r="P38" i="1"/>
  <c r="M38" i="1"/>
  <c r="J38" i="1"/>
  <c r="G38" i="1"/>
  <c r="C55" i="14" s="1"/>
  <c r="C38" i="1"/>
  <c r="J141" i="12" s="1"/>
  <c r="H77" i="15" l="1"/>
  <c r="J49" i="2" s="1"/>
  <c r="J50" i="2" s="1"/>
  <c r="C48" i="17"/>
  <c r="C39" i="17" s="1"/>
  <c r="H10" i="17"/>
  <c r="H9" i="17"/>
  <c r="C46" i="17"/>
  <c r="C37" i="17" s="1"/>
  <c r="P75" i="15"/>
  <c r="H11" i="17"/>
  <c r="H76" i="15"/>
  <c r="I49" i="2"/>
  <c r="I50" i="2" s="1"/>
  <c r="H78" i="15"/>
  <c r="K49" i="2" s="1"/>
  <c r="K50" i="2" s="1"/>
  <c r="C45" i="17"/>
  <c r="C36" i="17" s="1"/>
  <c r="H7" i="17"/>
  <c r="C44" i="17"/>
  <c r="C35" i="17" s="1"/>
  <c r="H8" i="17"/>
  <c r="H75" i="15"/>
  <c r="C330" i="8"/>
  <c r="B331" i="8" s="1"/>
  <c r="D330" i="8"/>
  <c r="C92" i="8"/>
  <c r="B93" i="8" s="1"/>
  <c r="D92" i="8"/>
  <c r="C160" i="8"/>
  <c r="B161" i="8" s="1"/>
  <c r="D160" i="8"/>
  <c r="C126" i="8"/>
  <c r="B127" i="8" s="1"/>
  <c r="D126" i="8"/>
  <c r="C296" i="8"/>
  <c r="B297" i="8" s="1"/>
  <c r="D296" i="8"/>
  <c r="C10" i="8"/>
  <c r="B11" i="8" s="1"/>
  <c r="D10" i="8"/>
  <c r="C194" i="8"/>
  <c r="B195" i="8" s="1"/>
  <c r="D194" i="8"/>
  <c r="C228" i="8"/>
  <c r="B229" i="8" s="1"/>
  <c r="D228" i="8"/>
  <c r="C58" i="8"/>
  <c r="B59" i="8" s="1"/>
  <c r="D58" i="8"/>
  <c r="C262" i="8"/>
  <c r="B263" i="8" s="1"/>
  <c r="D262" i="8"/>
  <c r="C8" i="9"/>
  <c r="D36" i="9"/>
  <c r="D65" i="9" s="1"/>
  <c r="D94" i="9" s="1"/>
  <c r="O10" i="12"/>
  <c r="A10" i="12" s="1"/>
  <c r="O90" i="12"/>
  <c r="A90" i="12" s="1"/>
  <c r="O82" i="12"/>
  <c r="A82" i="12" s="1"/>
  <c r="O59" i="12"/>
  <c r="A59" i="12" s="1"/>
  <c r="O26" i="12"/>
  <c r="A26" i="12" s="1"/>
  <c r="O23" i="12"/>
  <c r="A23" i="12" s="1"/>
  <c r="O15" i="12"/>
  <c r="A15" i="12" s="1"/>
  <c r="O24" i="12"/>
  <c r="A24" i="12" s="1"/>
  <c r="D55" i="14"/>
  <c r="D56" i="14" s="1"/>
  <c r="K55" i="14"/>
  <c r="K56" i="14" s="1"/>
  <c r="C56" i="14"/>
  <c r="J55" i="14"/>
  <c r="J56" i="14" s="1"/>
  <c r="I55" i="14"/>
  <c r="I56" i="14" s="1"/>
  <c r="H55" i="14"/>
  <c r="H56" i="14" s="1"/>
  <c r="G55" i="14"/>
  <c r="F55" i="14"/>
  <c r="E55" i="14"/>
  <c r="K61" i="14"/>
  <c r="K62" i="14" s="1"/>
  <c r="C61" i="14"/>
  <c r="C62" i="14" s="1"/>
  <c r="J61" i="14"/>
  <c r="J62" i="14" s="1"/>
  <c r="I61" i="14"/>
  <c r="I62" i="14" s="1"/>
  <c r="H61" i="14"/>
  <c r="H62" i="14" s="1"/>
  <c r="G61" i="14"/>
  <c r="G62" i="14" s="1"/>
  <c r="F61" i="14"/>
  <c r="F62" i="14" s="1"/>
  <c r="E61" i="14"/>
  <c r="E62" i="14" s="1"/>
  <c r="D61" i="14"/>
  <c r="D62" i="14" s="1"/>
  <c r="J67" i="14"/>
  <c r="J68" i="14" s="1"/>
  <c r="I67" i="14"/>
  <c r="I68" i="14" s="1"/>
  <c r="H67" i="14"/>
  <c r="H68" i="14" s="1"/>
  <c r="G67" i="14"/>
  <c r="G68" i="14" s="1"/>
  <c r="F67" i="14"/>
  <c r="F68" i="14" s="1"/>
  <c r="E67" i="14"/>
  <c r="E68" i="14" s="1"/>
  <c r="L67" i="14"/>
  <c r="L68" i="14" s="1"/>
  <c r="D67" i="14"/>
  <c r="D68" i="14" s="1"/>
  <c r="K67" i="14"/>
  <c r="K68" i="14" s="1"/>
  <c r="C67" i="14"/>
  <c r="C68" i="14" s="1"/>
  <c r="H73" i="14"/>
  <c r="H74" i="14" s="1"/>
  <c r="G73" i="14"/>
  <c r="G74" i="14" s="1"/>
  <c r="F73" i="14"/>
  <c r="F74" i="14" s="1"/>
  <c r="E73" i="14"/>
  <c r="E74" i="14" s="1"/>
  <c r="D73" i="14"/>
  <c r="D74" i="14" s="1"/>
  <c r="C73" i="14"/>
  <c r="C74" i="14" s="1"/>
  <c r="O19" i="12"/>
  <c r="A19" i="12" s="1"/>
  <c r="O81" i="12"/>
  <c r="A81" i="12" s="1"/>
  <c r="O16" i="12"/>
  <c r="A16" i="12" s="1"/>
  <c r="O34" i="12"/>
  <c r="A34" i="12" s="1"/>
  <c r="O74" i="12"/>
  <c r="A74" i="12" s="1"/>
  <c r="O94" i="12"/>
  <c r="A94" i="12" s="1"/>
  <c r="O27" i="12"/>
  <c r="A27" i="12" s="1"/>
  <c r="O61" i="12"/>
  <c r="A61" i="12" s="1"/>
  <c r="O29" i="12"/>
  <c r="A29" i="12" s="1"/>
  <c r="O65" i="12"/>
  <c r="A65" i="12" s="1"/>
  <c r="O33" i="12"/>
  <c r="A33" i="12" s="1"/>
  <c r="O12" i="12"/>
  <c r="A12" i="12" s="1"/>
  <c r="O14" i="12"/>
  <c r="A14" i="12" s="1"/>
  <c r="O76" i="12"/>
  <c r="A76" i="12" s="1"/>
  <c r="O77" i="12"/>
  <c r="A77" i="12" s="1"/>
  <c r="O98" i="12"/>
  <c r="A98" i="12" s="1"/>
  <c r="O11" i="12"/>
  <c r="A11" i="12" s="1"/>
  <c r="O43" i="12"/>
  <c r="A43" i="12" s="1"/>
  <c r="O13" i="12"/>
  <c r="A13" i="12" s="1"/>
  <c r="O45" i="12"/>
  <c r="A45" i="12" s="1"/>
  <c r="G56" i="14"/>
  <c r="F56" i="14"/>
  <c r="E56" i="14"/>
  <c r="O44" i="12"/>
  <c r="A44" i="12" s="1"/>
  <c r="O49" i="12"/>
  <c r="A49" i="12" s="1"/>
  <c r="O92" i="12"/>
  <c r="A92" i="12" s="1"/>
  <c r="O38" i="12"/>
  <c r="A38" i="12" s="1"/>
  <c r="O93" i="12"/>
  <c r="A93" i="12" s="1"/>
  <c r="O28" i="12"/>
  <c r="A28" i="12" s="1"/>
  <c r="O78" i="12"/>
  <c r="A78" i="12" s="1"/>
  <c r="O97" i="12"/>
  <c r="A97" i="12" s="1"/>
  <c r="O63" i="12"/>
  <c r="A63" i="12" s="1"/>
  <c r="O95" i="12"/>
  <c r="A95" i="12" s="1"/>
  <c r="O60" i="12"/>
  <c r="A60" i="12" s="1"/>
  <c r="O79" i="12"/>
  <c r="A79" i="12" s="1"/>
  <c r="O40" i="12"/>
  <c r="A40" i="12" s="1"/>
  <c r="O56" i="12"/>
  <c r="A56" i="12" s="1"/>
  <c r="O68" i="12"/>
  <c r="A68" i="12" s="1"/>
  <c r="O101" i="12"/>
  <c r="A101" i="12" s="1"/>
  <c r="O85" i="12"/>
  <c r="A85" i="12" s="1"/>
  <c r="O67" i="12"/>
  <c r="A67" i="12" s="1"/>
  <c r="O36" i="12"/>
  <c r="A36" i="12" s="1"/>
  <c r="O96" i="12"/>
  <c r="A96" i="12" s="1"/>
  <c r="O80" i="12"/>
  <c r="A80" i="12" s="1"/>
  <c r="O20" i="12"/>
  <c r="A20" i="12" s="1"/>
  <c r="O52" i="12"/>
  <c r="A52" i="12" s="1"/>
  <c r="O48" i="12"/>
  <c r="A48" i="12" s="1"/>
  <c r="O21" i="12"/>
  <c r="A21" i="12" s="1"/>
  <c r="O99" i="12"/>
  <c r="A99" i="12" s="1"/>
  <c r="O83" i="12"/>
  <c r="A83" i="12" s="1"/>
  <c r="O64" i="12"/>
  <c r="A64" i="12" s="1"/>
  <c r="O50" i="12"/>
  <c r="A50" i="12" s="1"/>
  <c r="O51" i="12"/>
  <c r="A51" i="12" s="1"/>
  <c r="O22" i="12"/>
  <c r="A22" i="12" s="1"/>
  <c r="O100" i="12"/>
  <c r="A100" i="12" s="1"/>
  <c r="O84" i="12"/>
  <c r="A84" i="12" s="1"/>
  <c r="O32" i="12"/>
  <c r="A32" i="12" s="1"/>
  <c r="O17" i="12"/>
  <c r="A17" i="12" s="1"/>
  <c r="O35" i="12"/>
  <c r="A35" i="12" s="1"/>
  <c r="O46" i="12"/>
  <c r="A46" i="12" s="1"/>
  <c r="O58" i="12"/>
  <c r="A58" i="12" s="1"/>
  <c r="O62" i="12"/>
  <c r="A62" i="12" s="1"/>
  <c r="O55" i="12"/>
  <c r="A55" i="12" s="1"/>
  <c r="O102" i="12"/>
  <c r="A102" i="12" s="1"/>
  <c r="O25" i="12"/>
  <c r="A25" i="12" s="1"/>
  <c r="O103" i="12"/>
  <c r="A103" i="12" s="1"/>
  <c r="O87" i="12"/>
  <c r="A87" i="12" s="1"/>
  <c r="O70" i="12"/>
  <c r="A70" i="12" s="1"/>
  <c r="O104" i="12"/>
  <c r="A104" i="12" s="1"/>
  <c r="O88" i="12"/>
  <c r="A88" i="12" s="1"/>
  <c r="O71" i="12"/>
  <c r="A71" i="12" s="1"/>
  <c r="O39" i="12"/>
  <c r="A39" i="12" s="1"/>
  <c r="O89" i="12"/>
  <c r="A89" i="12" s="1"/>
  <c r="O72" i="12"/>
  <c r="A72" i="12" s="1"/>
  <c r="O86" i="12"/>
  <c r="A86" i="12" s="1"/>
  <c r="O66" i="12"/>
  <c r="A66" i="12" s="1"/>
  <c r="O73" i="12"/>
  <c r="A73" i="12" s="1"/>
  <c r="O57" i="12"/>
  <c r="A57" i="12" s="1"/>
  <c r="O41" i="12"/>
  <c r="A41" i="12" s="1"/>
  <c r="O9" i="12"/>
  <c r="A9" i="12" s="1"/>
  <c r="O30" i="12"/>
  <c r="A30" i="12" s="1"/>
  <c r="O18" i="12"/>
  <c r="A18" i="12" s="1"/>
  <c r="O91" i="12"/>
  <c r="A91" i="12" s="1"/>
  <c r="O75" i="12"/>
  <c r="A75" i="12" s="1"/>
  <c r="O54" i="12"/>
  <c r="A54" i="12" s="1"/>
  <c r="O69" i="12"/>
  <c r="A69" i="12" s="1"/>
  <c r="O53" i="12"/>
  <c r="A53" i="12" s="1"/>
  <c r="O37" i="12"/>
  <c r="A37" i="12" s="1"/>
  <c r="O47" i="12"/>
  <c r="A47" i="12" s="1"/>
  <c r="O31" i="12"/>
  <c r="A31" i="12" s="1"/>
  <c r="O42" i="12"/>
  <c r="A42" i="12" s="1"/>
  <c r="D30" i="5"/>
  <c r="C30" i="5"/>
  <c r="D29" i="5"/>
  <c r="C29" i="5"/>
  <c r="C28" i="5"/>
  <c r="P76" i="15" l="1"/>
  <c r="F31" i="5"/>
  <c r="C82" i="14"/>
  <c r="C79" i="14"/>
  <c r="C80" i="14"/>
  <c r="F80" i="14" s="1"/>
  <c r="C81" i="14"/>
  <c r="C11" i="8"/>
  <c r="B12" i="8" s="1"/>
  <c r="D11" i="8"/>
  <c r="C263" i="8"/>
  <c r="B264" i="8" s="1"/>
  <c r="D263" i="8"/>
  <c r="C229" i="8"/>
  <c r="B230" i="8" s="1"/>
  <c r="D229" i="8"/>
  <c r="C127" i="8"/>
  <c r="B128" i="8" s="1"/>
  <c r="D127" i="8"/>
  <c r="C161" i="8"/>
  <c r="B162" i="8" s="1"/>
  <c r="D161" i="8"/>
  <c r="C331" i="8"/>
  <c r="B332" i="8" s="1"/>
  <c r="D331" i="8"/>
  <c r="C195" i="8"/>
  <c r="B196" i="8" s="1"/>
  <c r="D195" i="8"/>
  <c r="C59" i="8"/>
  <c r="B60" i="8" s="1"/>
  <c r="D59" i="8"/>
  <c r="C297" i="8"/>
  <c r="B298" i="8" s="1"/>
  <c r="D297" i="8"/>
  <c r="C93" i="8"/>
  <c r="B94" i="8" s="1"/>
  <c r="D93" i="8"/>
  <c r="D8" i="9"/>
  <c r="C37" i="9"/>
  <c r="C66" i="9" s="1"/>
  <c r="C95" i="9" s="1"/>
  <c r="D31" i="5"/>
  <c r="O107" i="12"/>
  <c r="C107" i="12" s="1"/>
  <c r="C31" i="5"/>
  <c r="L18" i="91" l="1"/>
  <c r="F81" i="14"/>
  <c r="L19" i="91"/>
  <c r="F82" i="14"/>
  <c r="B48" i="2"/>
  <c r="C48" i="2" s="1"/>
  <c r="C298" i="8"/>
  <c r="B299" i="8" s="1"/>
  <c r="D298" i="8"/>
  <c r="C60" i="8"/>
  <c r="B61" i="8" s="1"/>
  <c r="D60" i="8"/>
  <c r="C264" i="8"/>
  <c r="B265" i="8" s="1"/>
  <c r="D264" i="8"/>
  <c r="C94" i="8"/>
  <c r="B95" i="8" s="1"/>
  <c r="D94" i="8"/>
  <c r="C196" i="8"/>
  <c r="B197" i="8" s="1"/>
  <c r="D196" i="8"/>
  <c r="C332" i="8"/>
  <c r="B333" i="8" s="1"/>
  <c r="D332" i="8"/>
  <c r="C128" i="8"/>
  <c r="B129" i="8" s="1"/>
  <c r="D128" i="8"/>
  <c r="C12" i="8"/>
  <c r="B13" i="8" s="1"/>
  <c r="D12" i="8"/>
  <c r="C230" i="8"/>
  <c r="B231" i="8" s="1"/>
  <c r="D230" i="8"/>
  <c r="C162" i="8"/>
  <c r="B163" i="8" s="1"/>
  <c r="D162" i="8"/>
  <c r="G89" i="14"/>
  <c r="D25" i="2"/>
  <c r="F79" i="14"/>
  <c r="D23" i="2"/>
  <c r="L16" i="91"/>
  <c r="G90" i="14"/>
  <c r="D26" i="2"/>
  <c r="D89" i="14"/>
  <c r="D24" i="2"/>
  <c r="L17" i="91"/>
  <c r="D90" i="14"/>
  <c r="C9" i="9"/>
  <c r="D37" i="9"/>
  <c r="D66" i="9" s="1"/>
  <c r="D95" i="9" s="1"/>
  <c r="D91" i="14"/>
  <c r="G91" i="14"/>
  <c r="K107" i="12"/>
  <c r="H107" i="12"/>
  <c r="G107" i="12"/>
  <c r="L107" i="12"/>
  <c r="F107" i="12"/>
  <c r="M107" i="12"/>
  <c r="I107" i="12"/>
  <c r="N107" i="12"/>
  <c r="E51" i="1"/>
  <c r="E10" i="12" s="1"/>
  <c r="E52" i="1"/>
  <c r="E11" i="12" s="1"/>
  <c r="E53" i="1"/>
  <c r="E12" i="12" s="1"/>
  <c r="E54" i="1"/>
  <c r="E13" i="12" s="1"/>
  <c r="E55" i="1"/>
  <c r="E14" i="12" s="1"/>
  <c r="E56" i="1"/>
  <c r="E15" i="12" s="1"/>
  <c r="E57" i="1"/>
  <c r="E16" i="12" s="1"/>
  <c r="E58" i="1"/>
  <c r="E17" i="12" s="1"/>
  <c r="E59" i="1"/>
  <c r="E18" i="12" s="1"/>
  <c r="E60" i="1"/>
  <c r="E19" i="12" s="1"/>
  <c r="E61" i="1"/>
  <c r="E20" i="12" s="1"/>
  <c r="E62" i="1"/>
  <c r="E21" i="12" s="1"/>
  <c r="E63" i="1"/>
  <c r="E22" i="12" s="1"/>
  <c r="E64" i="1"/>
  <c r="E23" i="12" s="1"/>
  <c r="E65" i="1"/>
  <c r="E24" i="12" s="1"/>
  <c r="E66" i="1"/>
  <c r="E25" i="12" s="1"/>
  <c r="E67" i="1"/>
  <c r="E26" i="12" s="1"/>
  <c r="E68" i="1"/>
  <c r="E27" i="12" s="1"/>
  <c r="E69" i="1"/>
  <c r="E28" i="12" s="1"/>
  <c r="E70" i="1"/>
  <c r="E29" i="12" s="1"/>
  <c r="E71" i="1"/>
  <c r="E30" i="12" s="1"/>
  <c r="E72" i="1"/>
  <c r="E31" i="12" s="1"/>
  <c r="E73" i="1"/>
  <c r="E32" i="12" s="1"/>
  <c r="E74" i="1"/>
  <c r="E33" i="12" s="1"/>
  <c r="E75" i="1"/>
  <c r="E34" i="12" s="1"/>
  <c r="E76" i="1"/>
  <c r="E35" i="12" s="1"/>
  <c r="E77" i="1"/>
  <c r="E36" i="12" s="1"/>
  <c r="E78" i="1"/>
  <c r="E37" i="12" s="1"/>
  <c r="E79" i="1"/>
  <c r="E38" i="12" s="1"/>
  <c r="E80" i="1"/>
  <c r="E39" i="12" s="1"/>
  <c r="E81" i="1"/>
  <c r="E40" i="12" s="1"/>
  <c r="E82" i="1"/>
  <c r="E41" i="12" s="1"/>
  <c r="E83" i="1"/>
  <c r="E42" i="12" s="1"/>
  <c r="E84" i="1"/>
  <c r="E43" i="12" s="1"/>
  <c r="E85" i="1"/>
  <c r="E44" i="12" s="1"/>
  <c r="E86" i="1"/>
  <c r="E45" i="12" s="1"/>
  <c r="E87" i="1"/>
  <c r="E46" i="12" s="1"/>
  <c r="E88" i="1"/>
  <c r="E47" i="12" s="1"/>
  <c r="E89" i="1"/>
  <c r="E48" i="12" s="1"/>
  <c r="E90" i="1"/>
  <c r="E49" i="12" s="1"/>
  <c r="E91" i="1"/>
  <c r="E50" i="12" s="1"/>
  <c r="E92" i="1"/>
  <c r="E51" i="12" s="1"/>
  <c r="E93" i="1"/>
  <c r="E52" i="12" s="1"/>
  <c r="E94" i="1"/>
  <c r="E53" i="12" s="1"/>
  <c r="E95" i="1"/>
  <c r="E54" i="12" s="1"/>
  <c r="E96" i="1"/>
  <c r="E55" i="12" s="1"/>
  <c r="E97" i="1"/>
  <c r="E56" i="12" s="1"/>
  <c r="E98" i="1"/>
  <c r="E57" i="12" s="1"/>
  <c r="E99" i="1"/>
  <c r="E58" i="12" s="1"/>
  <c r="E100" i="1"/>
  <c r="E59" i="12" s="1"/>
  <c r="E101" i="1"/>
  <c r="E60" i="12" s="1"/>
  <c r="E102" i="1"/>
  <c r="E61" i="12" s="1"/>
  <c r="E103" i="1"/>
  <c r="E62" i="12" s="1"/>
  <c r="E104" i="1"/>
  <c r="E63" i="12" s="1"/>
  <c r="E105" i="1"/>
  <c r="E64" i="12" s="1"/>
  <c r="E106" i="1"/>
  <c r="E65" i="12" s="1"/>
  <c r="E107" i="1"/>
  <c r="E66" i="12" s="1"/>
  <c r="E108" i="1"/>
  <c r="E67" i="12" s="1"/>
  <c r="E109" i="1"/>
  <c r="E68" i="12" s="1"/>
  <c r="E110" i="1"/>
  <c r="E69" i="12" s="1"/>
  <c r="E111" i="1"/>
  <c r="E70" i="12" s="1"/>
  <c r="E112" i="1"/>
  <c r="E71" i="12" s="1"/>
  <c r="E113" i="1"/>
  <c r="E72" i="12" s="1"/>
  <c r="E114" i="1"/>
  <c r="E73" i="12" s="1"/>
  <c r="E115" i="1"/>
  <c r="E74" i="12" s="1"/>
  <c r="E116" i="1"/>
  <c r="E75" i="12" s="1"/>
  <c r="E117" i="1"/>
  <c r="E76" i="12" s="1"/>
  <c r="E118" i="1"/>
  <c r="E77" i="12" s="1"/>
  <c r="E119" i="1"/>
  <c r="E78" i="12" s="1"/>
  <c r="E120" i="1"/>
  <c r="E79" i="12" s="1"/>
  <c r="E121" i="1"/>
  <c r="E80" i="12" s="1"/>
  <c r="E122" i="1"/>
  <c r="E81" i="12" s="1"/>
  <c r="E123" i="1"/>
  <c r="E82" i="12" s="1"/>
  <c r="E124" i="1"/>
  <c r="E83" i="12" s="1"/>
  <c r="E125" i="1"/>
  <c r="E84" i="12" s="1"/>
  <c r="E126" i="1"/>
  <c r="E85" i="12" s="1"/>
  <c r="E127" i="1"/>
  <c r="E86" i="12" s="1"/>
  <c r="E128" i="1"/>
  <c r="E87" i="12" s="1"/>
  <c r="E129" i="1"/>
  <c r="E88" i="12" s="1"/>
  <c r="E130" i="1"/>
  <c r="E89" i="12" s="1"/>
  <c r="E131" i="1"/>
  <c r="E90" i="12" s="1"/>
  <c r="E132" i="1"/>
  <c r="E91" i="12" s="1"/>
  <c r="E133" i="1"/>
  <c r="E92" i="12" s="1"/>
  <c r="E134" i="1"/>
  <c r="E93" i="12" s="1"/>
  <c r="E135" i="1"/>
  <c r="E94" i="12" s="1"/>
  <c r="E136" i="1"/>
  <c r="E95" i="12" s="1"/>
  <c r="E137" i="1"/>
  <c r="E96" i="12" s="1"/>
  <c r="E138" i="1"/>
  <c r="E97" i="12" s="1"/>
  <c r="E139" i="1"/>
  <c r="E98" i="12" s="1"/>
  <c r="E140" i="1"/>
  <c r="E99" i="12" s="1"/>
  <c r="E141" i="1"/>
  <c r="E100" i="12" s="1"/>
  <c r="E142" i="1"/>
  <c r="E101" i="12" s="1"/>
  <c r="E143" i="1"/>
  <c r="E102" i="12" s="1"/>
  <c r="E144" i="1"/>
  <c r="E103" i="12" s="1"/>
  <c r="E145" i="1"/>
  <c r="E104" i="12" s="1"/>
  <c r="E50" i="1"/>
  <c r="E9" i="12" s="1"/>
  <c r="C231" i="8" l="1"/>
  <c r="B232" i="8" s="1"/>
  <c r="D231" i="8"/>
  <c r="C129" i="8"/>
  <c r="B130" i="8" s="1"/>
  <c r="D129" i="8"/>
  <c r="C197" i="8"/>
  <c r="B198" i="8" s="1"/>
  <c r="D197" i="8"/>
  <c r="C61" i="8"/>
  <c r="B62" i="8" s="1"/>
  <c r="D61" i="8"/>
  <c r="C163" i="8"/>
  <c r="B164" i="8" s="1"/>
  <c r="D163" i="8"/>
  <c r="C13" i="8"/>
  <c r="B14" i="8" s="1"/>
  <c r="D13" i="8"/>
  <c r="C333" i="8"/>
  <c r="B334" i="8" s="1"/>
  <c r="D333" i="8"/>
  <c r="C95" i="8"/>
  <c r="B96" i="8" s="1"/>
  <c r="D95" i="8"/>
  <c r="C265" i="8"/>
  <c r="B266" i="8" s="1"/>
  <c r="D265" i="8"/>
  <c r="C299" i="8"/>
  <c r="B300" i="8" s="1"/>
  <c r="D299" i="8"/>
  <c r="D9" i="9"/>
  <c r="C38" i="9"/>
  <c r="C67" i="9" s="1"/>
  <c r="C96" i="9" s="1"/>
  <c r="K108" i="12"/>
  <c r="K136" i="12" s="1"/>
  <c r="N123" i="12" s="1"/>
  <c r="N108" i="12"/>
  <c r="K139" i="12" s="1"/>
  <c r="N132" i="12" s="1"/>
  <c r="M108" i="12"/>
  <c r="K138" i="12" s="1"/>
  <c r="N129" i="12" s="1"/>
  <c r="L108" i="12"/>
  <c r="K137" i="12" s="1"/>
  <c r="N126" i="12" s="1"/>
  <c r="F108" i="12"/>
  <c r="G108" i="12"/>
  <c r="N26" i="1"/>
  <c r="L26" i="1"/>
  <c r="N24" i="1"/>
  <c r="L24" i="1"/>
  <c r="I24" i="1" l="1"/>
  <c r="C300" i="8"/>
  <c r="B301" i="8" s="1"/>
  <c r="D300" i="8"/>
  <c r="C96" i="8"/>
  <c r="B97" i="8" s="1"/>
  <c r="D96" i="8"/>
  <c r="C14" i="8"/>
  <c r="B15" i="8" s="1"/>
  <c r="D14" i="8"/>
  <c r="C62" i="8"/>
  <c r="B63" i="8" s="1"/>
  <c r="D62" i="8"/>
  <c r="C130" i="8"/>
  <c r="B131" i="8" s="1"/>
  <c r="D130" i="8"/>
  <c r="C266" i="8"/>
  <c r="B267" i="8" s="1"/>
  <c r="D266" i="8"/>
  <c r="C334" i="8"/>
  <c r="B335" i="8" s="1"/>
  <c r="D334" i="8"/>
  <c r="C164" i="8"/>
  <c r="B165" i="8" s="1"/>
  <c r="D164" i="8"/>
  <c r="C198" i="8"/>
  <c r="B199" i="8" s="1"/>
  <c r="D198" i="8"/>
  <c r="C232" i="8"/>
  <c r="B233" i="8" s="1"/>
  <c r="D232" i="8"/>
  <c r="C10" i="9"/>
  <c r="D38" i="9"/>
  <c r="D67" i="9" s="1"/>
  <c r="D96" i="9" s="1"/>
  <c r="K141" i="12"/>
  <c r="L136" i="12"/>
  <c r="G138" i="12" s="1"/>
  <c r="L126" i="12" l="1"/>
  <c r="C233" i="8"/>
  <c r="D233" i="8"/>
  <c r="C165" i="8"/>
  <c r="D165" i="8"/>
  <c r="C267" i="8"/>
  <c r="D267" i="8"/>
  <c r="C63" i="8"/>
  <c r="D63" i="8"/>
  <c r="C97" i="8"/>
  <c r="D97" i="8"/>
  <c r="C199" i="8"/>
  <c r="D199" i="8"/>
  <c r="C335" i="8"/>
  <c r="D335" i="8"/>
  <c r="AB4" i="91" s="1"/>
  <c r="C131" i="8"/>
  <c r="D131" i="8"/>
  <c r="C15" i="8"/>
  <c r="B16" i="8" s="1"/>
  <c r="D15" i="8"/>
  <c r="C301" i="8"/>
  <c r="D301" i="8"/>
  <c r="AC4" i="91" s="1"/>
  <c r="D10" i="9"/>
  <c r="C39" i="9"/>
  <c r="C68" i="9" s="1"/>
  <c r="C97" i="9" s="1"/>
  <c r="G137" i="12"/>
  <c r="M136" i="12" s="1"/>
  <c r="P24" i="1"/>
  <c r="AD3" i="91" l="1"/>
  <c r="AD5" i="91"/>
  <c r="AD6" i="91"/>
  <c r="AC2" i="91"/>
  <c r="AC3" i="91"/>
  <c r="AC5" i="91"/>
  <c r="AB2" i="91"/>
  <c r="AB3" i="91"/>
  <c r="AB5" i="91"/>
  <c r="AB6" i="91"/>
  <c r="AD2" i="91"/>
  <c r="AD4" i="91"/>
  <c r="AD7" i="91"/>
  <c r="AD9" i="91"/>
  <c r="AD15" i="91"/>
  <c r="AB9" i="91"/>
  <c r="AB7" i="91"/>
  <c r="AB13" i="91"/>
  <c r="AB11" i="91"/>
  <c r="AB14" i="91"/>
  <c r="AB10" i="91"/>
  <c r="AB8" i="91"/>
  <c r="AB12" i="91"/>
  <c r="AB15" i="91"/>
  <c r="AD12" i="91"/>
  <c r="AD10" i="91"/>
  <c r="AD8" i="91"/>
  <c r="AD11" i="91"/>
  <c r="AD13" i="91"/>
  <c r="AC8" i="91"/>
  <c r="AC12" i="91"/>
  <c r="AC6" i="91"/>
  <c r="AC7" i="91"/>
  <c r="AC13" i="91"/>
  <c r="AC10" i="91"/>
  <c r="AC9" i="91"/>
  <c r="AC11" i="91"/>
  <c r="AC14" i="91"/>
  <c r="AC15" i="91"/>
  <c r="AC16" i="91"/>
  <c r="AC17" i="91"/>
  <c r="AC22" i="91"/>
  <c r="AC20" i="91"/>
  <c r="AC19" i="91"/>
  <c r="AC23" i="91"/>
  <c r="AC25" i="91"/>
  <c r="AC21" i="91"/>
  <c r="AC18" i="91"/>
  <c r="AC24" i="91"/>
  <c r="AB20" i="91"/>
  <c r="AB24" i="91"/>
  <c r="AB22" i="91"/>
  <c r="AB25" i="91"/>
  <c r="AB23" i="91"/>
  <c r="AB16" i="91"/>
  <c r="AB18" i="91"/>
  <c r="AB19" i="91"/>
  <c r="AB21" i="91"/>
  <c r="AB17" i="91"/>
  <c r="AD23" i="91"/>
  <c r="AD17" i="91"/>
  <c r="AD24" i="91"/>
  <c r="AD14" i="91"/>
  <c r="AD19" i="91"/>
  <c r="AD16" i="91"/>
  <c r="AD22" i="91"/>
  <c r="AD20" i="91"/>
  <c r="AD21" i="91"/>
  <c r="AD25" i="91"/>
  <c r="AD18" i="91"/>
  <c r="C16" i="8"/>
  <c r="B17" i="8" s="1"/>
  <c r="D16" i="8"/>
  <c r="C11" i="9"/>
  <c r="D39" i="9"/>
  <c r="D68" i="9" s="1"/>
  <c r="D97" i="9" s="1"/>
  <c r="L137" i="12"/>
  <c r="H138" i="12" s="1"/>
  <c r="I126" i="12" s="1"/>
  <c r="F123" i="12"/>
  <c r="C17" i="8" l="1"/>
  <c r="B18" i="8" s="1"/>
  <c r="D17" i="8"/>
  <c r="D11" i="9"/>
  <c r="C40" i="9"/>
  <c r="C69" i="9" s="1"/>
  <c r="C98" i="9" s="1"/>
  <c r="M137" i="12"/>
  <c r="L138" i="12"/>
  <c r="I139" i="12" s="1"/>
  <c r="C18" i="8" l="1"/>
  <c r="B19" i="8" s="1"/>
  <c r="D18" i="8"/>
  <c r="C12" i="9"/>
  <c r="D40" i="9"/>
  <c r="D69" i="9" s="1"/>
  <c r="D98" i="9" s="1"/>
  <c r="L139" i="12"/>
  <c r="M139" i="12" s="1"/>
  <c r="H129" i="12"/>
  <c r="M138" i="12"/>
  <c r="B46" i="2" l="1"/>
  <c r="C46" i="2" s="1"/>
  <c r="C19" i="8"/>
  <c r="B20" i="8" s="1"/>
  <c r="D19" i="8"/>
  <c r="D12" i="9"/>
  <c r="C41" i="9"/>
  <c r="C70" i="9" s="1"/>
  <c r="C99" i="9" s="1"/>
  <c r="C20" i="8" l="1"/>
  <c r="B21" i="8" s="1"/>
  <c r="D20" i="8"/>
  <c r="C13" i="9"/>
  <c r="D41" i="9"/>
  <c r="D70" i="9" s="1"/>
  <c r="D99" i="9" s="1"/>
  <c r="C21" i="8" l="1"/>
  <c r="B22" i="8" s="1"/>
  <c r="D21" i="8"/>
  <c r="D13" i="9"/>
  <c r="C42" i="9"/>
  <c r="C71" i="9" s="1"/>
  <c r="C100" i="9" s="1"/>
  <c r="C22" i="8" l="1"/>
  <c r="B23" i="8" s="1"/>
  <c r="D22" i="8"/>
  <c r="C14" i="9"/>
  <c r="D42" i="9"/>
  <c r="D71" i="9" s="1"/>
  <c r="D100" i="9" s="1"/>
  <c r="C23" i="8" l="1"/>
  <c r="B24" i="8" s="1"/>
  <c r="D23" i="8"/>
  <c r="D14" i="9"/>
  <c r="C43" i="9"/>
  <c r="C72" i="9" s="1"/>
  <c r="C101" i="9" s="1"/>
  <c r="C24" i="8" l="1"/>
  <c r="B25" i="8" s="1"/>
  <c r="D24" i="8"/>
  <c r="C15" i="9"/>
  <c r="D43" i="9"/>
  <c r="D72" i="9" s="1"/>
  <c r="D101" i="9" s="1"/>
  <c r="C25" i="8" l="1"/>
  <c r="B26" i="8" s="1"/>
  <c r="D25" i="8"/>
  <c r="D15" i="9"/>
  <c r="C44" i="9"/>
  <c r="C73" i="9" s="1"/>
  <c r="C102" i="9" s="1"/>
  <c r="C26" i="8" l="1"/>
  <c r="B27" i="8" s="1"/>
  <c r="D26" i="8"/>
  <c r="C16" i="9"/>
  <c r="D44" i="9"/>
  <c r="D73" i="9" s="1"/>
  <c r="D102" i="9" s="1"/>
  <c r="C27" i="8" l="1"/>
  <c r="B28" i="8" s="1"/>
  <c r="D27" i="8"/>
  <c r="D16" i="9"/>
  <c r="C45" i="9"/>
  <c r="C74" i="9" s="1"/>
  <c r="C103" i="9" s="1"/>
  <c r="C28" i="8" l="1"/>
  <c r="B29" i="8" s="1"/>
  <c r="D28" i="8"/>
  <c r="C17" i="9"/>
  <c r="D45" i="9"/>
  <c r="D74" i="9" s="1"/>
  <c r="D103" i="9" s="1"/>
  <c r="C29" i="8" l="1"/>
  <c r="D29" i="8"/>
  <c r="AE3" i="91" s="1"/>
  <c r="AF3" i="91" s="1"/>
  <c r="D17" i="9"/>
  <c r="C46" i="9"/>
  <c r="C75" i="9" s="1"/>
  <c r="C104" i="9" s="1"/>
  <c r="AE2" i="91" l="1"/>
  <c r="AF2" i="91" s="1"/>
  <c r="AE5" i="91"/>
  <c r="AF5" i="91" s="1"/>
  <c r="AE4" i="91"/>
  <c r="AF4" i="91" s="1"/>
  <c r="AE7" i="91"/>
  <c r="AF7" i="91" s="1"/>
  <c r="AE6" i="91"/>
  <c r="AF6" i="91" s="1"/>
  <c r="AE9" i="91"/>
  <c r="AF9" i="91" s="1"/>
  <c r="AE13" i="91"/>
  <c r="AF13" i="91" s="1"/>
  <c r="AE11" i="91"/>
  <c r="AF11" i="91" s="1"/>
  <c r="AE8" i="91"/>
  <c r="AF8" i="91" s="1"/>
  <c r="AE10" i="91"/>
  <c r="AF10" i="91" s="1"/>
  <c r="AE12" i="91"/>
  <c r="AF12" i="91" s="1"/>
  <c r="AE22" i="91"/>
  <c r="AF22" i="91" s="1"/>
  <c r="AE23" i="91"/>
  <c r="AF23" i="91" s="1"/>
  <c r="AE21" i="91"/>
  <c r="AF21" i="91" s="1"/>
  <c r="AE25" i="91"/>
  <c r="AF25" i="91" s="1"/>
  <c r="AE15" i="91"/>
  <c r="AF15" i="91" s="1"/>
  <c r="AE20" i="91"/>
  <c r="AF20" i="91" s="1"/>
  <c r="AE24" i="91"/>
  <c r="AF24" i="91" s="1"/>
  <c r="AE18" i="91"/>
  <c r="AF18" i="91" s="1"/>
  <c r="AE16" i="91"/>
  <c r="AF16" i="91" s="1"/>
  <c r="AE17" i="91"/>
  <c r="AF17" i="91" s="1"/>
  <c r="AE14" i="91"/>
  <c r="AF14" i="91" s="1"/>
  <c r="AE19" i="91"/>
  <c r="AF19" i="91" s="1"/>
  <c r="C18" i="9"/>
  <c r="D46" i="9"/>
  <c r="D75" i="9" s="1"/>
  <c r="D104" i="9" s="1"/>
  <c r="D18" i="9" l="1"/>
  <c r="C47" i="9"/>
  <c r="C76" i="9" s="1"/>
  <c r="C105" i="9" s="1"/>
  <c r="C19" i="9" l="1"/>
  <c r="D47" i="9"/>
  <c r="D76" i="9" s="1"/>
  <c r="D105" i="9" s="1"/>
  <c r="D19" i="9" l="1"/>
  <c r="C48" i="9"/>
  <c r="C77" i="9" s="1"/>
  <c r="C106" i="9" s="1"/>
  <c r="C20" i="9" l="1"/>
  <c r="D48" i="9"/>
  <c r="D77" i="9" s="1"/>
  <c r="D106" i="9" s="1"/>
  <c r="D20" i="9" l="1"/>
  <c r="C49" i="9"/>
  <c r="C78" i="9" s="1"/>
  <c r="C107" i="9" s="1"/>
  <c r="C21" i="9" l="1"/>
  <c r="D49" i="9"/>
  <c r="D78" i="9" s="1"/>
  <c r="D107" i="9" s="1"/>
  <c r="D21" i="9" l="1"/>
  <c r="C50" i="9"/>
  <c r="C79" i="9" s="1"/>
  <c r="C108" i="9" s="1"/>
  <c r="C22" i="9" l="1"/>
  <c r="D50" i="9"/>
  <c r="D79" i="9" s="1"/>
  <c r="D108" i="9" s="1"/>
  <c r="D22" i="9" l="1"/>
  <c r="C51" i="9"/>
  <c r="C80" i="9" s="1"/>
  <c r="C109" i="9" s="1"/>
  <c r="C23" i="9" l="1"/>
  <c r="D51" i="9"/>
  <c r="D80" i="9" s="1"/>
  <c r="D109" i="9" s="1"/>
  <c r="D23" i="9" l="1"/>
  <c r="C52" i="9"/>
  <c r="C81" i="9" s="1"/>
  <c r="C110" i="9" s="1"/>
  <c r="C24" i="9" l="1"/>
  <c r="D52" i="9"/>
  <c r="D81" i="9" s="1"/>
  <c r="D110" i="9" s="1"/>
  <c r="D24" i="9" l="1"/>
  <c r="C53" i="9"/>
  <c r="C82" i="9" s="1"/>
  <c r="C111" i="9" s="1"/>
  <c r="C25" i="9" l="1"/>
  <c r="D53" i="9"/>
  <c r="D82" i="9" s="1"/>
  <c r="D111" i="9" s="1"/>
  <c r="D25" i="9" l="1"/>
  <c r="C54" i="9"/>
  <c r="C83" i="9" s="1"/>
  <c r="C112" i="9" s="1"/>
  <c r="C26" i="9" l="1"/>
  <c r="D54" i="9"/>
  <c r="D83" i="9" s="1"/>
  <c r="D112" i="9" s="1"/>
  <c r="D26" i="9" l="1"/>
  <c r="C55" i="9"/>
  <c r="C84" i="9" s="1"/>
  <c r="C113" i="9" s="1"/>
  <c r="C27" i="9" l="1"/>
  <c r="D55" i="9"/>
  <c r="D84" i="9" s="1"/>
  <c r="D113" i="9" s="1"/>
  <c r="D27" i="9" l="1"/>
  <c r="C56" i="9"/>
  <c r="C85" i="9" s="1"/>
  <c r="C114" i="9" s="1"/>
  <c r="C28" i="9" l="1"/>
  <c r="D56" i="9"/>
  <c r="D85" i="9" s="1"/>
  <c r="D114" i="9" s="1"/>
  <c r="D28" i="9" l="1"/>
  <c r="C57" i="9"/>
  <c r="C86" i="9" s="1"/>
  <c r="C115" i="9" s="1"/>
  <c r="C29" i="9" l="1"/>
  <c r="D57" i="9"/>
  <c r="D86" i="9" s="1"/>
  <c r="D115" i="9" s="1"/>
  <c r="D29" i="9" l="1"/>
  <c r="D58" i="9" s="1"/>
  <c r="D87" i="9" s="1"/>
  <c r="D116" i="9" s="1"/>
  <c r="C58" i="9"/>
  <c r="C87" i="9" s="1"/>
  <c r="C116" i="9" s="1"/>
  <c r="G18" i="17" l="1"/>
  <c r="K18" i="17" l="1"/>
  <c r="L18" i="17" s="1"/>
  <c r="K19" i="17"/>
  <c r="D33" i="2" s="1"/>
  <c r="K17" i="17"/>
  <c r="K20" i="17"/>
  <c r="B59" i="2" l="1"/>
  <c r="H54" i="2"/>
  <c r="AG51" i="91"/>
  <c r="D32" i="2"/>
  <c r="C59" i="2"/>
  <c r="I54" i="2"/>
  <c r="I8" i="17"/>
  <c r="J18" i="17" s="1"/>
  <c r="D31" i="2"/>
  <c r="D35" i="2"/>
  <c r="D34" i="2"/>
  <c r="L19" i="17"/>
  <c r="I9" i="17" s="1"/>
  <c r="AG52" i="91"/>
  <c r="L20" i="17"/>
  <c r="AG53" i="91"/>
  <c r="L17" i="17"/>
  <c r="I7" i="17" s="1"/>
  <c r="J17" i="17" s="1"/>
  <c r="AG50" i="91"/>
  <c r="K21" i="17"/>
  <c r="J19" i="17" l="1"/>
  <c r="D59" i="2" s="1"/>
  <c r="L8" i="17"/>
  <c r="K22" i="17"/>
  <c r="I11" i="17"/>
  <c r="J20" i="17" s="1"/>
  <c r="E59" i="2" s="1"/>
  <c r="I10" i="17"/>
  <c r="L10" i="17" s="1"/>
  <c r="H47" i="17" s="1"/>
  <c r="L21" i="17"/>
  <c r="L22" i="17" s="1"/>
  <c r="E56" i="2" s="1"/>
  <c r="L7" i="17"/>
  <c r="L9" i="17"/>
  <c r="O45" i="101" l="1"/>
  <c r="O41" i="101"/>
  <c r="L36" i="17"/>
  <c r="F45" i="17"/>
  <c r="H45" i="17"/>
  <c r="L11" i="17"/>
  <c r="F47" i="17"/>
  <c r="L38" i="17"/>
  <c r="L35" i="17"/>
  <c r="H46" i="17"/>
  <c r="F46" i="17"/>
  <c r="H44" i="17"/>
  <c r="F44" i="17"/>
  <c r="K7" i="17"/>
  <c r="O63" i="101" l="1"/>
  <c r="H6" i="113" s="1"/>
  <c r="H48" i="17"/>
  <c r="F48" i="17"/>
  <c r="K35" i="17"/>
  <c r="G44" i="17"/>
  <c r="H55" i="2" s="1"/>
  <c r="E44" i="17"/>
  <c r="N17" i="17"/>
  <c r="K8" i="17"/>
  <c r="E35" i="17" l="1"/>
  <c r="AU60" i="91" s="1"/>
  <c r="H22" i="2"/>
  <c r="K36" i="17"/>
  <c r="E45" i="17"/>
  <c r="G45" i="17"/>
  <c r="D35" i="17"/>
  <c r="N18" i="17"/>
  <c r="H23" i="2" l="1"/>
  <c r="I55" i="2"/>
  <c r="G35" i="17"/>
  <c r="E36" i="17"/>
  <c r="D36" i="17"/>
  <c r="G36" i="17" l="1"/>
  <c r="AU61" i="91"/>
  <c r="K9" i="17"/>
  <c r="O46" i="101" l="1"/>
  <c r="O43" i="101"/>
  <c r="O40" i="101"/>
  <c r="K38" i="17"/>
  <c r="K43" i="17"/>
  <c r="O51" i="101" s="1"/>
  <c r="E46" i="17"/>
  <c r="G46" i="17"/>
  <c r="J54" i="2" s="1"/>
  <c r="N19" i="17"/>
  <c r="H24" i="2" l="1"/>
  <c r="J55" i="2"/>
  <c r="M43" i="17"/>
  <c r="R51" i="101" s="1"/>
  <c r="E37" i="17"/>
  <c r="D37" i="17"/>
  <c r="N43" i="17" l="1"/>
  <c r="S51" i="101" s="1"/>
  <c r="G37" i="17"/>
  <c r="AU62" i="91"/>
  <c r="K10" i="17"/>
  <c r="G47" i="17" s="1"/>
  <c r="H25" i="2" s="1"/>
  <c r="K11" i="17"/>
  <c r="O71" i="101" l="1"/>
  <c r="O77" i="101"/>
  <c r="O65" i="101"/>
  <c r="O83" i="101"/>
  <c r="O76" i="101"/>
  <c r="O64" i="101"/>
  <c r="O70" i="101"/>
  <c r="O82" i="101"/>
  <c r="M11" i="17"/>
  <c r="K45" i="17"/>
  <c r="O61" i="101" s="1"/>
  <c r="K44" i="17"/>
  <c r="O60" i="101" s="1"/>
  <c r="G48" i="17"/>
  <c r="K54" i="2" s="1"/>
  <c r="K55" i="2" s="1"/>
  <c r="E48" i="17"/>
  <c r="D39" i="17" s="1"/>
  <c r="E47" i="17"/>
  <c r="N20" i="17"/>
  <c r="F80" i="90" l="1"/>
  <c r="BH115" i="90"/>
  <c r="BN115" i="90"/>
  <c r="BJ115" i="90"/>
  <c r="BE115" i="90"/>
  <c r="G44" i="90"/>
  <c r="J44" i="90"/>
  <c r="L44" i="90"/>
  <c r="BP115" i="90"/>
  <c r="G80" i="90"/>
  <c r="K44" i="90"/>
  <c r="BO115" i="90"/>
  <c r="BD115" i="90"/>
  <c r="BG115" i="90"/>
  <c r="E44" i="90"/>
  <c r="Q44" i="90"/>
  <c r="BC115" i="90"/>
  <c r="N44" i="90"/>
  <c r="BM115" i="90"/>
  <c r="H44" i="90"/>
  <c r="E80" i="90"/>
  <c r="I44" i="90"/>
  <c r="M44" i="90"/>
  <c r="BL115" i="90"/>
  <c r="P44" i="90"/>
  <c r="BI115" i="90"/>
  <c r="BK115" i="90"/>
  <c r="BF115" i="90"/>
  <c r="O44" i="90"/>
  <c r="F44" i="90"/>
  <c r="M39" i="17"/>
  <c r="E39" i="17"/>
  <c r="G39" i="17" s="1"/>
  <c r="H26" i="2"/>
  <c r="M45" i="17"/>
  <c r="R61" i="101" s="1"/>
  <c r="M44" i="17"/>
  <c r="R60" i="101" s="1"/>
  <c r="D38" i="17"/>
  <c r="E38" i="17"/>
  <c r="C7" i="90" l="1"/>
  <c r="C8" i="90"/>
  <c r="C9" i="90"/>
  <c r="N44" i="17"/>
  <c r="S60" i="101" s="1"/>
  <c r="N45" i="17"/>
  <c r="S61" i="101" s="1"/>
  <c r="G38" i="17"/>
  <c r="AU63" i="91"/>
  <c r="H14" i="2" l="1"/>
  <c r="J68" i="101"/>
  <c r="N68" i="101"/>
  <c r="M68" i="101"/>
  <c r="L68" i="101"/>
  <c r="K68" i="101"/>
  <c r="O68" i="101"/>
  <c r="H15" i="2"/>
  <c r="J74" i="101"/>
  <c r="N74" i="101"/>
  <c r="M74" i="101"/>
  <c r="K74" i="101"/>
  <c r="L74" i="101"/>
  <c r="O74" i="101"/>
  <c r="H16" i="2"/>
  <c r="N80" i="101"/>
  <c r="J80" i="101"/>
  <c r="L80" i="101"/>
  <c r="M80" i="101"/>
  <c r="K80" i="101"/>
  <c r="O80" i="101"/>
  <c r="K25" i="1"/>
  <c r="P25" i="1" s="1"/>
  <c r="P26" i="1"/>
  <c r="R26" i="1"/>
  <c r="I26" i="1" s="1"/>
  <c r="O67" i="101" l="1"/>
  <c r="O66" i="101"/>
  <c r="N79" i="101"/>
  <c r="N78" i="101"/>
  <c r="O73" i="101"/>
  <c r="O72" i="101"/>
  <c r="K67" i="101"/>
  <c r="K66" i="101"/>
  <c r="O79" i="101"/>
  <c r="O78" i="101"/>
  <c r="L72" i="101"/>
  <c r="L73" i="101"/>
  <c r="L67" i="101"/>
  <c r="L66" i="101"/>
  <c r="K79" i="101"/>
  <c r="K78" i="101"/>
  <c r="K73" i="101"/>
  <c r="K72" i="101"/>
  <c r="M67" i="101"/>
  <c r="M66" i="101"/>
  <c r="M79" i="101"/>
  <c r="M78" i="101"/>
  <c r="M72" i="101"/>
  <c r="M73" i="101"/>
  <c r="N67" i="101"/>
  <c r="N66" i="101"/>
  <c r="L78" i="101"/>
  <c r="L79" i="101"/>
  <c r="N73" i="101"/>
  <c r="N72" i="101"/>
  <c r="J67" i="101"/>
  <c r="J66" i="101"/>
  <c r="J79" i="101"/>
  <c r="J78" i="101"/>
  <c r="J73" i="101"/>
  <c r="J72" i="10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ROKYA</author>
  </authors>
  <commentList>
    <comment ref="L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Comercial, Poder Público e Consumo Próprio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tc={739D5D39-C4F7-4839-92E8-5592452AB7D7}</author>
    <author>ROKYA</author>
  </authors>
  <commentList>
    <comment ref="AH53" authorId="0" shapeId="0" xr:uid="{739D5D39-C4F7-4839-92E8-5592452AB7D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caso de ter AS, somar a célula 'DADOS-Diversos'!C18 também</t>
      </text>
    </comment>
    <comment ref="J90" authorId="1" shapeId="0" xr:uid="{00000000-0006-0000-1400-000001000000}">
      <text>
        <r>
          <rPr>
            <sz val="8"/>
            <color indexed="81"/>
            <rFont val="Segoe UI"/>
            <family val="2"/>
          </rPr>
          <t>Para desconsiderar um subgrupo que não existe, no OFFICE 2013, com botão direito, opção "selecionar dados",  desmarcar o subgrupo em "rótulo de eixo horizontal"</t>
        </r>
      </text>
    </comment>
    <comment ref="K110" authorId="1" shapeId="0" xr:uid="{00000000-0006-0000-1400-000002000000}">
      <text>
        <r>
          <rPr>
            <sz val="9"/>
            <color indexed="81"/>
            <rFont val="Segoe UI"/>
            <family val="2"/>
          </rPr>
          <t>ajustar a cor das barras : AZUL  e VERDE</t>
        </r>
      </text>
    </comment>
  </commentList>
</comments>
</file>

<file path=xl/sharedStrings.xml><?xml version="1.0" encoding="utf-8"?>
<sst xmlns="http://schemas.openxmlformats.org/spreadsheetml/2006/main" count="7898" uniqueCount="3619">
  <si>
    <t>TRAFO MT/BT</t>
  </si>
  <si>
    <t>Amostra</t>
  </si>
  <si>
    <t>Universo</t>
  </si>
  <si>
    <t xml:space="preserve">UC </t>
  </si>
  <si>
    <t>A1</t>
  </si>
  <si>
    <t>Tipologia</t>
  </si>
  <si>
    <t>MT</t>
  </si>
  <si>
    <t>AT-2</t>
  </si>
  <si>
    <t>AT-3</t>
  </si>
  <si>
    <t>INJ MT</t>
  </si>
  <si>
    <t>INJ BT</t>
  </si>
  <si>
    <t>INJ AT-2</t>
  </si>
  <si>
    <t>INJ AT-3</t>
  </si>
  <si>
    <t>REDES</t>
  </si>
  <si>
    <t>TRAFO AT-2/AT-3</t>
  </si>
  <si>
    <t>TRAFO AT-2/MT</t>
  </si>
  <si>
    <t>TRAFO AT-3/MT</t>
  </si>
  <si>
    <t>xx/yy</t>
  </si>
  <si>
    <t>ELEVAÇÃO</t>
  </si>
  <si>
    <t>AS</t>
  </si>
  <si>
    <t>BT</t>
  </si>
  <si>
    <t>residencial</t>
  </si>
  <si>
    <t>rural</t>
  </si>
  <si>
    <t>indust.</t>
  </si>
  <si>
    <t>com, pp, cp</t>
  </si>
  <si>
    <t>sp</t>
  </si>
  <si>
    <t>IP</t>
  </si>
  <si>
    <t>Medição</t>
  </si>
  <si>
    <t>Tipologia e projeto</t>
  </si>
  <si>
    <t>R$</t>
  </si>
  <si>
    <t>Total</t>
  </si>
  <si>
    <t>Outros</t>
  </si>
  <si>
    <t>Anexo I - CARACTERIZAÇÃO DA CARGA E DO SISTEMA ELÉTRICO</t>
  </si>
  <si>
    <t>qtdade</t>
  </si>
  <si>
    <t>UC</t>
  </si>
  <si>
    <t>Executora</t>
  </si>
  <si>
    <t>fora do verão</t>
  </si>
  <si>
    <t>horário de verão</t>
  </si>
  <si>
    <t>ponta</t>
  </si>
  <si>
    <t>início</t>
  </si>
  <si>
    <t>fim</t>
  </si>
  <si>
    <t>intermediário 1</t>
  </si>
  <si>
    <t>intermediário 2</t>
  </si>
  <si>
    <t>hora</t>
  </si>
  <si>
    <t>fora ponta (grupo A)</t>
  </si>
  <si>
    <t>fora ponta (grupo B)</t>
  </si>
  <si>
    <t/>
  </si>
  <si>
    <t>Hora</t>
  </si>
  <si>
    <t>Posto Tarifário</t>
  </si>
  <si>
    <t>MT/BT</t>
  </si>
  <si>
    <t>AT-2/MT</t>
  </si>
  <si>
    <t>AT-2/AT-3</t>
  </si>
  <si>
    <t>AT-3/MT</t>
  </si>
  <si>
    <t>TOTAL</t>
  </si>
  <si>
    <t>TIPOLOGIAS - CARGA (AGREGADO) - ENTRADA CTR</t>
  </si>
  <si>
    <t>TIPOLOGIAS - TRANSFORMAÇÃO (AGREGADO) - ENTRADA CTR</t>
  </si>
  <si>
    <t>AT-1</t>
  </si>
  <si>
    <t>Tensão Nominal</t>
  </si>
  <si>
    <t>Agrupamento</t>
  </si>
  <si>
    <t>kV</t>
  </si>
  <si>
    <t>Comprimento</t>
  </si>
  <si>
    <t>km</t>
  </si>
  <si>
    <t>Versão</t>
  </si>
  <si>
    <t>Data</t>
  </si>
  <si>
    <t>Anexo I</t>
  </si>
  <si>
    <t>Anexo II</t>
  </si>
  <si>
    <t>&gt; 230</t>
  </si>
  <si>
    <t>MT - urbano trifásico</t>
  </si>
  <si>
    <t>MT - urbano bifásico</t>
  </si>
  <si>
    <t>MT - urbano monofásico</t>
  </si>
  <si>
    <t>BT - urbano trifásico</t>
  </si>
  <si>
    <t>BT - urbano bifásico</t>
  </si>
  <si>
    <t>BT - urbano monofásico</t>
  </si>
  <si>
    <t>2,3 a 44</t>
  </si>
  <si>
    <t>Custo</t>
  </si>
  <si>
    <t>R$/km</t>
  </si>
  <si>
    <t>Tensão Primária</t>
  </si>
  <si>
    <t>Tensão Secundária</t>
  </si>
  <si>
    <t>Qtdade</t>
  </si>
  <si>
    <t>Potência</t>
  </si>
  <si>
    <t>MVA</t>
  </si>
  <si>
    <t>88-138</t>
  </si>
  <si>
    <t>2,3-44</t>
  </si>
  <si>
    <t>MT/AT-2</t>
  </si>
  <si>
    <t>MT/AT-3</t>
  </si>
  <si>
    <t>AT-3/AT-2</t>
  </si>
  <si>
    <t>&lt;=2,3</t>
  </si>
  <si>
    <t>Un.</t>
  </si>
  <si>
    <t>kVA</t>
  </si>
  <si>
    <t>R$/posto</t>
  </si>
  <si>
    <t>R$/MVA</t>
  </si>
  <si>
    <t>R$/MG</t>
  </si>
  <si>
    <t>R$/kVA</t>
  </si>
  <si>
    <t>NURB</t>
  </si>
  <si>
    <t>URB</t>
  </si>
  <si>
    <t>MT - Nurb monofásico</t>
  </si>
  <si>
    <t>MT - Nurb trifásico</t>
  </si>
  <si>
    <t>MT - Nurb bifásico</t>
  </si>
  <si>
    <t>BT - Nurb trifásico</t>
  </si>
  <si>
    <t>BT - Nurb bifásico</t>
  </si>
  <si>
    <t>BT - Nurb monofásico</t>
  </si>
  <si>
    <t>AT</t>
  </si>
  <si>
    <t>BAY Trafo (CT)</t>
  </si>
  <si>
    <t>BAY LINHA (EL)</t>
  </si>
  <si>
    <t>R$/EL</t>
  </si>
  <si>
    <t>R$/CT</t>
  </si>
  <si>
    <t>REDE</t>
  </si>
  <si>
    <t>TRAFO</t>
  </si>
  <si>
    <t>BAY</t>
  </si>
  <si>
    <t>TABELA DEM.1 .- DEMANDA MÁXIMA COINCIDENTE</t>
  </si>
  <si>
    <t>(MW)</t>
  </si>
  <si>
    <t>AT-2 (88 a 138 kV)</t>
  </si>
  <si>
    <t>AT-3 (69 kV)</t>
  </si>
  <si>
    <t>MT (&gt; 1kV e &lt; 69 kV)</t>
  </si>
  <si>
    <t>BT  (&lt; 1 kV)</t>
  </si>
  <si>
    <t>DATA</t>
  </si>
  <si>
    <t>HORA</t>
  </si>
  <si>
    <t>DD/MM/AAAA</t>
  </si>
  <si>
    <t>Demanda Máxima Inj.</t>
  </si>
  <si>
    <t>Demanda Máxima</t>
  </si>
  <si>
    <t>DAT-2 (total)</t>
  </si>
  <si>
    <t xml:space="preserve">Elemento
</t>
  </si>
  <si>
    <t>INJ (AT-2)</t>
  </si>
  <si>
    <t>F (X/AT-2)</t>
  </si>
  <si>
    <t>TABELA DEM.3 .- DEMANDA MÁXIMA AT-3</t>
  </si>
  <si>
    <t>TABELA DEM.2 .- DEMANDA MÁXIMA AT-2</t>
  </si>
  <si>
    <t>DAT-3 (total)</t>
  </si>
  <si>
    <t>INJ (AT-3)</t>
  </si>
  <si>
    <t>F(AT-2/AT-3)</t>
  </si>
  <si>
    <t>F (X/AT-3)</t>
  </si>
  <si>
    <t>TABELA DEM.4.- DEMANDA MÁXIMA MT</t>
  </si>
  <si>
    <t>TABELA DEM.5.- DEMANDA MÁXIMA BT</t>
  </si>
  <si>
    <t>DBT (total)</t>
  </si>
  <si>
    <t>INJ(BT)</t>
  </si>
  <si>
    <t>F(MT/BT)</t>
  </si>
  <si>
    <t>DMT (total)</t>
  </si>
  <si>
    <t>INJ (MT)</t>
  </si>
  <si>
    <t>F(AT-2/MT)</t>
  </si>
  <si>
    <t>F(AT-3/MT)</t>
  </si>
  <si>
    <t>F (X/MT)</t>
  </si>
  <si>
    <t>DADOS DE MERCADO</t>
  </si>
  <si>
    <t>TABELA ENE.1 .- BALANÇO DE ENERGIA POR SUBGRUPO (FAIXA DE TENSÃO)</t>
  </si>
  <si>
    <t>Subgrupo</t>
  </si>
  <si>
    <t>Energia Fornecida</t>
  </si>
  <si>
    <t>MES_01</t>
  </si>
  <si>
    <t>MES_02</t>
  </si>
  <si>
    <t>MES_03</t>
  </si>
  <si>
    <t>MES_04</t>
  </si>
  <si>
    <t>MES_05</t>
  </si>
  <si>
    <t>MES_06</t>
  </si>
  <si>
    <t>MES_07</t>
  </si>
  <si>
    <t>MES_08</t>
  </si>
  <si>
    <t>MES_09</t>
  </si>
  <si>
    <t>MES_10</t>
  </si>
  <si>
    <t>MES_11</t>
  </si>
  <si>
    <t>MES_12</t>
  </si>
  <si>
    <t>A2</t>
  </si>
  <si>
    <t>A3</t>
  </si>
  <si>
    <t>A3a</t>
  </si>
  <si>
    <t>A4</t>
  </si>
  <si>
    <t>B</t>
  </si>
  <si>
    <t>Energia Injetada Geração</t>
  </si>
  <si>
    <t>FPE (%)</t>
  </si>
  <si>
    <t>IPNT (%)</t>
  </si>
  <si>
    <t>Fator Perdas Energia</t>
  </si>
  <si>
    <t>Índice de Perdas não técnicas</t>
  </si>
  <si>
    <t>PERDAS (fonte: SRD)</t>
  </si>
  <si>
    <t>Fator de Perdas de Potência (fpp)</t>
  </si>
  <si>
    <t>AZUL</t>
  </si>
  <si>
    <t>DP</t>
  </si>
  <si>
    <t>kW</t>
  </si>
  <si>
    <t>DFP</t>
  </si>
  <si>
    <t>EP</t>
  </si>
  <si>
    <t>EFP</t>
  </si>
  <si>
    <t>VERDE</t>
  </si>
  <si>
    <t>MWh</t>
  </si>
  <si>
    <t>D</t>
  </si>
  <si>
    <t>CONVENCIONAL</t>
  </si>
  <si>
    <t>E</t>
  </si>
  <si>
    <t>DADOS DIVERSOS</t>
  </si>
  <si>
    <t>SIGLA</t>
  </si>
  <si>
    <t>AGENTE</t>
  </si>
  <si>
    <t>DATA ANIVERSÁRIO</t>
  </si>
  <si>
    <t>ESTADO</t>
  </si>
  <si>
    <t>IdDescReg</t>
  </si>
  <si>
    <t>Cod_Empr_ANEEL</t>
  </si>
  <si>
    <t>Início HP tradicional</t>
  </si>
  <si>
    <t>Início HP Verão</t>
  </si>
  <si>
    <t>AES SUL</t>
  </si>
  <si>
    <t>AES-SUL AES SUL DISTRIBUIDORA GAÚCHA DE ENERGIA S/A.</t>
  </si>
  <si>
    <t>RS</t>
  </si>
  <si>
    <t>&gt; 500</t>
  </si>
  <si>
    <t>AME</t>
  </si>
  <si>
    <t>AME AMAZONAS DISTRIBUIDORA DE ENERGIA S/A</t>
  </si>
  <si>
    <t>AM</t>
  </si>
  <si>
    <t>AMPLA</t>
  </si>
  <si>
    <t>AMPLA AMPLA ENERGIA E SERVIÇOS S/A</t>
  </si>
  <si>
    <t>RJ</t>
  </si>
  <si>
    <t>BANDEIRANTE</t>
  </si>
  <si>
    <t>BANDEIRANTE BANDEIRANTE ENERGIA S/A.</t>
  </si>
  <si>
    <t>SP</t>
  </si>
  <si>
    <t>BOA VISTA</t>
  </si>
  <si>
    <t>BOA VISTA BOA VISTA ENERGIA S/A</t>
  </si>
  <si>
    <t>RR</t>
  </si>
  <si>
    <t>CAIUÁ</t>
  </si>
  <si>
    <t>CAIUÁ-D CAIUÁ DISTRIBUIÇÃO DE ENERGIA S/A</t>
  </si>
  <si>
    <t>CEA</t>
  </si>
  <si>
    <t>CEA COMPANHIA DE ELETRICIDADE DO AMAPÁ</t>
  </si>
  <si>
    <t>AP</t>
  </si>
  <si>
    <t>CEAL</t>
  </si>
  <si>
    <t>CEAL COMPANHIA ENERGÉTICA DE ALAGOAS</t>
  </si>
  <si>
    <t>AL</t>
  </si>
  <si>
    <t>CEB-DIS CEB DISTRIBUIÇÃO S/A</t>
  </si>
  <si>
    <t>DF</t>
  </si>
  <si>
    <t>CEEE-D COMPANHIA ESTADUAL DE DISTRIBUIÇÃO DE ENERGIA ELÉTRICA</t>
  </si>
  <si>
    <t>CELESC-DIS CELESC DISTRIBUIÇÃO S.A.</t>
  </si>
  <si>
    <t>SC</t>
  </si>
  <si>
    <t>CELG-D CELG DISTRIBUIÇÃO S.A.</t>
  </si>
  <si>
    <t>GO</t>
  </si>
  <si>
    <t>CELPA</t>
  </si>
  <si>
    <t>CELPA CENTRAIS ELÉTRICAS DO PARÁ S/A.</t>
  </si>
  <si>
    <t>PA</t>
  </si>
  <si>
    <t>CELPE</t>
  </si>
  <si>
    <t>CELPE COMPANHIA ENERGÉTICA DE PERNAMBUCO</t>
  </si>
  <si>
    <t>PE</t>
  </si>
  <si>
    <t>CELTINS COMPANHIA DE ENERGIA ELÉTRICA DO ESTADO DO TOCANTINS</t>
  </si>
  <si>
    <t>TO</t>
  </si>
  <si>
    <t>CEMAR</t>
  </si>
  <si>
    <t>CEMAR COMPANHIA ENERGÉTICA DO MARANHÃO</t>
  </si>
  <si>
    <t>MA</t>
  </si>
  <si>
    <t>CEMAT CENTRAIS ELÉTRICAS MATOGROSSENSES S/A.</t>
  </si>
  <si>
    <t>CEMIG</t>
  </si>
  <si>
    <t>CEMIG-D CEMIG DISTRIBUIÇÃO S/A</t>
  </si>
  <si>
    <t>MG</t>
  </si>
  <si>
    <t>CEPISA</t>
  </si>
  <si>
    <t>CEPISA COMPANHIA ENERGÉTICA DO PIAUÍ</t>
  </si>
  <si>
    <t>PI</t>
  </si>
  <si>
    <t>CERON</t>
  </si>
  <si>
    <t>CERON CENTRAIS ELÉTRICAS DE RONDÔNIA  S/A.</t>
  </si>
  <si>
    <t>RO</t>
  </si>
  <si>
    <t>CERR</t>
  </si>
  <si>
    <t>CERR COMPANHIA ENERGÉTICA DE RORAIMA</t>
  </si>
  <si>
    <t>CFLO</t>
  </si>
  <si>
    <t>CFLO COMPANHIA FORÇA E LUZ DO OESTE</t>
  </si>
  <si>
    <t>PR</t>
  </si>
  <si>
    <t>&lt; 500</t>
  </si>
  <si>
    <t>CHESP</t>
  </si>
  <si>
    <t>CHESP COMPANHIA HIDROELÉTRICA SÃO PATRÍCIO</t>
  </si>
  <si>
    <t>CPFL JAGUARI COMPANHIA JAGUARI DE ENERGIA</t>
  </si>
  <si>
    <t>CPFL MOCOCA COMPANHIA LUZ E FORÇA DE MOCOCA</t>
  </si>
  <si>
    <t>CPFL SANTA CRUZ COMPANHIA LUZ E FORÇA SANTA CRUZ</t>
  </si>
  <si>
    <t>CNEE</t>
  </si>
  <si>
    <t>CNEE COMPANHIA NACIONAL DE ENERGIA ELÉTRICA</t>
  </si>
  <si>
    <t>COCEL</t>
  </si>
  <si>
    <t>COCEL COMPANHIA CAMPOLARGUENSE DE ENERGIA</t>
  </si>
  <si>
    <t>COELBA</t>
  </si>
  <si>
    <t>COELBA COMPANHIA DE ELETRICIDADE DO ESTADO DA BAHIA</t>
  </si>
  <si>
    <t>BA</t>
  </si>
  <si>
    <t>COELCE</t>
  </si>
  <si>
    <t>COELCE COMPANHIA ENERGÉTICA DO CEARÁ</t>
  </si>
  <si>
    <t>CE</t>
  </si>
  <si>
    <t>COOPERALIANÇA</t>
  </si>
  <si>
    <t>COOPERALIANÇA COOPERATIVA ALIANÇA</t>
  </si>
  <si>
    <t>COPEL-DIS COPEL DISTRIBUIÇÃO S/A</t>
  </si>
  <si>
    <t>COSERN</t>
  </si>
  <si>
    <t>COSERN COMPANHIA ENERGÉTICA DO RIO GRANDE DO NORTE</t>
  </si>
  <si>
    <t>RN</t>
  </si>
  <si>
    <t>CPEE COMPANHIA PAULISTA DE ENERGIA ELÉTRICA</t>
  </si>
  <si>
    <t>CPFL PAULISTA</t>
  </si>
  <si>
    <t>CPFL-PAULISTA COMPANHIA PAULISTA DE FORÇA E LUZ</t>
  </si>
  <si>
    <t>CPFL PIRATININGA</t>
  </si>
  <si>
    <t>CPFL- PIRATININGA COMPANHIA PIRATININGA DE FORÇA E LUZ</t>
  </si>
  <si>
    <t>CPFL SUL PAULISTA COMPANHIA SUL PAULISTA DE ENERGIA</t>
  </si>
  <si>
    <t>DEMEI</t>
  </si>
  <si>
    <t>DMED</t>
  </si>
  <si>
    <t>DEMED DME DISTRIBUIÇÃO S.A</t>
  </si>
  <si>
    <t>EBO</t>
  </si>
  <si>
    <t>EBO ENERGISA BORBOREMA – DISTRIBUIDORA DE ENERGIA S.A.</t>
  </si>
  <si>
    <t>PB</t>
  </si>
  <si>
    <t>EDEVP</t>
  </si>
  <si>
    <t>EDEVP EMPRESA DE DISTRIBUIÇÃO DE ENERGIA VALE PARANAPANEMA S/A</t>
  </si>
  <si>
    <t>EEB</t>
  </si>
  <si>
    <t>EEB EMPRESA ELÉTRICA BRAGANTINA S/A.</t>
  </si>
  <si>
    <t>EFLJC</t>
  </si>
  <si>
    <t>EFLJC EMPRESA FORÇA E LUZ JOÃO CESA LTDA</t>
  </si>
  <si>
    <t>EFLUL</t>
  </si>
  <si>
    <t>EFLUL EMPRESA FORÇA E LUZ URUSSANGA LTDA</t>
  </si>
  <si>
    <t>ELEKTRO</t>
  </si>
  <si>
    <t>ELEKTRO ELEKTRO ELETRICIDADE E SERVIÇOS S/A.</t>
  </si>
  <si>
    <t>ELETROACRE</t>
  </si>
  <si>
    <t>ELETROACRE COMPANHIA DE ELETRICIDADE DO ACRE</t>
  </si>
  <si>
    <t>AC</t>
  </si>
  <si>
    <t>ELETROCAR</t>
  </si>
  <si>
    <t>ELETROCAR CENTRAIS ELÉTRICAS DE CARAZINHO S/A.</t>
  </si>
  <si>
    <t>ELETROPAULO</t>
  </si>
  <si>
    <t>ELETROPAULO ELETROPAULO METROPOLITANA ELETRICIDADE DE SÃO PAULO S/A</t>
  </si>
  <si>
    <t>ELFSM</t>
  </si>
  <si>
    <t>ELFSM EMPRESA LUZ E FORÇA SANTA MARIA S/A.</t>
  </si>
  <si>
    <t>ES</t>
  </si>
  <si>
    <t>EMG</t>
  </si>
  <si>
    <t>EMG ENERGISA MINAS GERAIS - DISTRIBUIDORA DE ENERGIA S.A.</t>
  </si>
  <si>
    <t>ENERSUL EMPRESA ENERGÉTICA DE MATO GROSSO DO SUL S/A.</t>
  </si>
  <si>
    <t>MS</t>
  </si>
  <si>
    <t>ENF</t>
  </si>
  <si>
    <t>ENF ENERGISA NOVA FRIBURGO - DISTRIBUIDORA DE ENERGIA S.A.</t>
  </si>
  <si>
    <t>EPB</t>
  </si>
  <si>
    <t>EPB ENERGISA PARAÍBA - DISTRIBUIDORA DE ENERGIA</t>
  </si>
  <si>
    <t>ESCELSA</t>
  </si>
  <si>
    <t>ESCELSA ESPÍRITO SANTO CENTRAIS ELÉTRICAS S/A.</t>
  </si>
  <si>
    <t>ESE</t>
  </si>
  <si>
    <t>ESE ENERGISA SERGIPE - DISTRIBUIDORA DE ENERGIA S.A.</t>
  </si>
  <si>
    <t>SE</t>
  </si>
  <si>
    <t>FORCEL</t>
  </si>
  <si>
    <t>FORCEL FORÇA E LUZ CORONEL VIVIDA LTDA</t>
  </si>
  <si>
    <t>HIDROPAN</t>
  </si>
  <si>
    <t>HIDROPAN HIDROELÉTRICA PANAMBI S/A.</t>
  </si>
  <si>
    <t>IENERGIA</t>
  </si>
  <si>
    <t>IENERGIA IGUAÇU DISTRIBUIDORA DE ENERGIA ELÉTRICA LTDA</t>
  </si>
  <si>
    <t>LIGHT</t>
  </si>
  <si>
    <t>LIGHT LIGHT SERVIÇOS DE ELETRICIDADE S/A.</t>
  </si>
  <si>
    <t>MUXFELDT</t>
  </si>
  <si>
    <t>MUXENERGIA- MUXFELDT MARIN &amp; CIA. LTDA</t>
  </si>
  <si>
    <t>RGE</t>
  </si>
  <si>
    <t>RGE RIO GRANDE ENERGIA S/A.</t>
  </si>
  <si>
    <t>SULGIPE</t>
  </si>
  <si>
    <t>SULGIPE COMPANHIA SUL SERGIPANA DE ELETRICIDADE</t>
  </si>
  <si>
    <t>UHENPAL</t>
  </si>
  <si>
    <t>UHENPAL USINA HIDROELÉTRICA NOVA PALMA LTDA.</t>
  </si>
  <si>
    <t>distribuidora</t>
  </si>
  <si>
    <t>Codigo</t>
  </si>
  <si>
    <t>RESULTADOS</t>
  </si>
  <si>
    <t>EV</t>
  </si>
  <si>
    <t>kz</t>
  </si>
  <si>
    <t>WACC real antes impostos</t>
  </si>
  <si>
    <t>Alíquota IRPJ e CSLL</t>
  </si>
  <si>
    <t>PARCELA B</t>
  </si>
  <si>
    <t>CUSTOS OPERACIONAIS</t>
  </si>
  <si>
    <t>RPFP</t>
  </si>
  <si>
    <t>MUSD</t>
  </si>
  <si>
    <t>P</t>
  </si>
  <si>
    <t>FP</t>
  </si>
  <si>
    <t>EUSD</t>
  </si>
  <si>
    <t>ENCARGO CCD</t>
  </si>
  <si>
    <t>MW</t>
  </si>
  <si>
    <t>ENCARGO CCT</t>
  </si>
  <si>
    <t>MUST</t>
  </si>
  <si>
    <t>Posto</t>
  </si>
  <si>
    <t>Total Sparta</t>
  </si>
  <si>
    <t>B4 - IP</t>
  </si>
  <si>
    <t>B1 - residencial</t>
  </si>
  <si>
    <t>B2 - rural</t>
  </si>
  <si>
    <t>B3 - industrial</t>
  </si>
  <si>
    <t>B3 - comercial, pp, outros</t>
  </si>
  <si>
    <t>RESULTADOS CTR</t>
  </si>
  <si>
    <r>
      <t xml:space="preserve">ESTRUTURA VERTICAL - EV (CTR): </t>
    </r>
    <r>
      <rPr>
        <b/>
        <i/>
        <u/>
        <sz val="10"/>
        <color theme="1"/>
        <rFont val="Calibri"/>
        <family val="2"/>
        <scheme val="minor"/>
      </rPr>
      <t>relatórioCustoDeCapacidade.xls</t>
    </r>
  </si>
  <si>
    <r>
      <t xml:space="preserve">PROPORÇÃO DE FLUXO (CTR): </t>
    </r>
    <r>
      <rPr>
        <b/>
        <i/>
        <u/>
        <sz val="10"/>
        <color theme="1"/>
        <rFont val="Calibri"/>
        <family val="2"/>
        <scheme val="minor"/>
      </rPr>
      <t>relatórioProporcaoFluxo.xls</t>
    </r>
  </si>
  <si>
    <t>DP1</t>
  </si>
  <si>
    <t>CT-002</t>
  </si>
  <si>
    <t>DP2</t>
  </si>
  <si>
    <t>intervalo</t>
  </si>
  <si>
    <t>P/FP/I</t>
  </si>
  <si>
    <t>I</t>
  </si>
  <si>
    <t>CT-001</t>
  </si>
  <si>
    <t>CT-003</t>
  </si>
  <si>
    <t>CT-004</t>
  </si>
  <si>
    <t>CT-005</t>
  </si>
  <si>
    <t>CT-006</t>
  </si>
  <si>
    <t>CT-007</t>
  </si>
  <si>
    <t>CT-008</t>
  </si>
  <si>
    <t>CT-009</t>
  </si>
  <si>
    <t>CT-010</t>
  </si>
  <si>
    <t>CT-011</t>
  </si>
  <si>
    <t>CT-012</t>
  </si>
  <si>
    <t>CT-013</t>
  </si>
  <si>
    <t>CT-014</t>
  </si>
  <si>
    <t>CT-015</t>
  </si>
  <si>
    <t>CT-016</t>
  </si>
  <si>
    <t>CT-017</t>
  </si>
  <si>
    <t>CT-018</t>
  </si>
  <si>
    <t>CT-019</t>
  </si>
  <si>
    <t>CT-020</t>
  </si>
  <si>
    <t>CT-021</t>
  </si>
  <si>
    <t>CT-022</t>
  </si>
  <si>
    <t>CT-023</t>
  </si>
  <si>
    <t>CT-024</t>
  </si>
  <si>
    <t>CT-025</t>
  </si>
  <si>
    <t>BT-2</t>
  </si>
  <si>
    <t>BT-1</t>
  </si>
  <si>
    <t>cabeçalhos permitidos</t>
  </si>
  <si>
    <t>RT-001</t>
  </si>
  <si>
    <t>RT-002</t>
  </si>
  <si>
    <t>RT-003</t>
  </si>
  <si>
    <t>RT-004</t>
  </si>
  <si>
    <t>RT-005</t>
  </si>
  <si>
    <t>RT-006</t>
  </si>
  <si>
    <t>RT-007</t>
  </si>
  <si>
    <t>RT-008</t>
  </si>
  <si>
    <t>RT-009</t>
  </si>
  <si>
    <t>RT-010</t>
  </si>
  <si>
    <t>RT-011</t>
  </si>
  <si>
    <t>RT-012</t>
  </si>
  <si>
    <t>RT-013</t>
  </si>
  <si>
    <t>RT-014</t>
  </si>
  <si>
    <t>RT-015</t>
  </si>
  <si>
    <t>RT-016</t>
  </si>
  <si>
    <t>FATOR SAZONALIDAE</t>
  </si>
  <si>
    <t>FS</t>
  </si>
  <si>
    <t>máximo</t>
  </si>
  <si>
    <t>MÁXIMO</t>
  </si>
  <si>
    <t>POSTO</t>
  </si>
  <si>
    <t>PARTICIPAÇÃO</t>
  </si>
  <si>
    <t>Carga</t>
  </si>
  <si>
    <t>Inj AT-2</t>
  </si>
  <si>
    <t>Inj AT-3</t>
  </si>
  <si>
    <t>Inj MT</t>
  </si>
  <si>
    <t>Inj BT</t>
  </si>
  <si>
    <t>Inj AT-1</t>
  </si>
  <si>
    <t>AT-1/AT-2</t>
  </si>
  <si>
    <t>CARGA AT-1</t>
  </si>
  <si>
    <t>CARGA AT-2</t>
  </si>
  <si>
    <t>CARGA AT-3</t>
  </si>
  <si>
    <t>CARGA MT</t>
  </si>
  <si>
    <t>CARGA BT</t>
  </si>
  <si>
    <t>DIAGRAMA UNIFILAR</t>
  </si>
  <si>
    <t>TIPOLOGIAS - TRANSFORMAÇÃO (AGREGADO) - AJUSTADAS</t>
  </si>
  <si>
    <t>TIPOLOGIAS - CARGA (AGREGADO) - AJUSTADAS</t>
  </si>
  <si>
    <t>O que vai para outro nível</t>
  </si>
  <si>
    <t>Inj.</t>
  </si>
  <si>
    <t>CUSTO MÉDIO</t>
  </si>
  <si>
    <t>FRC - ANUALIZAÇÃO</t>
  </si>
  <si>
    <t>Módulos</t>
  </si>
  <si>
    <t>Taxa remuneração real (antes imposto)</t>
  </si>
  <si>
    <t>Rede (AT)</t>
  </si>
  <si>
    <t>Rede (MT) URB</t>
  </si>
  <si>
    <t>Rede (MT) NURB</t>
  </si>
  <si>
    <t>Rede (BT) URB</t>
  </si>
  <si>
    <t>Rede (BT) NURB</t>
  </si>
  <si>
    <t>TRAFO (AT/AT)</t>
  </si>
  <si>
    <t>TRAFO (AT/MT)</t>
  </si>
  <si>
    <t>TRAFO (MT/AT)</t>
  </si>
  <si>
    <t>MG (SE AT/MT)</t>
  </si>
  <si>
    <t>MG (SE AT/AT)</t>
  </si>
  <si>
    <t>MG (SE MT/AT)</t>
  </si>
  <si>
    <t>Vida útil (anos)</t>
  </si>
  <si>
    <t>TRAFO MT-BT (URB) 
posto transf. (Um.)</t>
  </si>
  <si>
    <t>TRAFO MT-BT (URB) 
capacidade instalada (kVA)</t>
  </si>
  <si>
    <t>TRAFO MT-BT (NURB) 
posto transf. (Um.)</t>
  </si>
  <si>
    <t>TRAFO MT-BT (NURB) 
capacidade instalada (kVA)</t>
  </si>
  <si>
    <t>Fator Recuperação Capital - FRC</t>
  </si>
  <si>
    <t>Custo O&amp;M</t>
  </si>
  <si>
    <t>Taxa Anualização total (FRC+O&amp;M)</t>
  </si>
  <si>
    <t>Rede</t>
  </si>
  <si>
    <t>CUSTO POR MÓDULO</t>
  </si>
  <si>
    <t>Custo total</t>
  </si>
  <si>
    <t>Rede MT URB</t>
  </si>
  <si>
    <t>MÓDULO GERAL</t>
  </si>
  <si>
    <t>POTÊNCIA</t>
  </si>
  <si>
    <t>Posto Transf.</t>
  </si>
  <si>
    <t>CUSTO TOTAL DOS ATIVOS</t>
  </si>
  <si>
    <t>Transformação AT</t>
  </si>
  <si>
    <t>Transformação MT/BT</t>
  </si>
  <si>
    <t>Rede AT-2 (com EL)</t>
  </si>
  <si>
    <t>Rede AT-3 (com EL)</t>
  </si>
  <si>
    <t>Rede MT (com EL)</t>
  </si>
  <si>
    <t>Rede BT (com EL)</t>
  </si>
  <si>
    <t>Rede AT-1 (com EL)</t>
  </si>
  <si>
    <t>AT-2 (138)</t>
  </si>
  <si>
    <t>AT-2 (88)</t>
  </si>
  <si>
    <t>Agrupamento AT-2</t>
  </si>
  <si>
    <t>Bay (EL)</t>
  </si>
  <si>
    <t>Demanda (kW)</t>
  </si>
  <si>
    <t>Taxa Anualização</t>
  </si>
  <si>
    <t>Custo (R$)</t>
  </si>
  <si>
    <t>Custo médio (R$/kW)</t>
  </si>
  <si>
    <t>Agrupamento AT-3</t>
  </si>
  <si>
    <t>TRAFO 
(AT-2/AT-3)</t>
  </si>
  <si>
    <t>MG
(AT-2/AT-3)</t>
  </si>
  <si>
    <t>Bay (CT) 
(AT-2)</t>
  </si>
  <si>
    <t>Bay (CT) 
(AT-3)</t>
  </si>
  <si>
    <t>TRAFO
(AT-3/AT-2)</t>
  </si>
  <si>
    <t>TRAFO 
(MT/AT-3)</t>
  </si>
  <si>
    <t>MG
(AT-3/AT-2)</t>
  </si>
  <si>
    <t>MG
(MT/AT-3)</t>
  </si>
  <si>
    <t>Agrupamento MT</t>
  </si>
  <si>
    <t>Rede MT NURB</t>
  </si>
  <si>
    <t>TRAFO 
(AT-2/MT)</t>
  </si>
  <si>
    <t>TRAFO 
(AT-3/MT)</t>
  </si>
  <si>
    <t>MG
(AT-2/MT)</t>
  </si>
  <si>
    <t>MG
(AT-3/MT)</t>
  </si>
  <si>
    <t>Bay (CT) 
(MT)</t>
  </si>
  <si>
    <t>TRAFO
(MT/AT-2)</t>
  </si>
  <si>
    <t>MG
(MT/AT-2)</t>
  </si>
  <si>
    <t>Agrupamento BT</t>
  </si>
  <si>
    <t>Rede BT URB</t>
  </si>
  <si>
    <t>Rede BT NURB</t>
  </si>
  <si>
    <t>MT/MT - urb</t>
  </si>
  <si>
    <t>MT/MT - Nurb</t>
  </si>
  <si>
    <t>MT/BT - urb</t>
  </si>
  <si>
    <t>MT/BT - Nurb</t>
  </si>
  <si>
    <t>TRAFO MT-BT (URB) 
posto transf. (Un.)</t>
  </si>
  <si>
    <t>TRAFO MT-BT (NURB) 
posto transf. (Un.)</t>
  </si>
  <si>
    <t>Custos médios</t>
  </si>
  <si>
    <t>R$/kW</t>
  </si>
  <si>
    <t>TIPO CONEXÃO</t>
  </si>
  <si>
    <t>D5</t>
  </si>
  <si>
    <t>D4</t>
  </si>
  <si>
    <t>D3</t>
  </si>
  <si>
    <t>k</t>
  </si>
  <si>
    <t>fator pot</t>
  </si>
  <si>
    <t>FATOR CARREG</t>
  </si>
  <si>
    <t>PMIX ENERGIA (R$/MWh)</t>
  </si>
  <si>
    <t>Receita componentes tarifários TUSDg</t>
  </si>
  <si>
    <t>FIO B</t>
  </si>
  <si>
    <t>CONEXÃO CCT</t>
  </si>
  <si>
    <t>FR</t>
  </si>
  <si>
    <t xml:space="preserve">TUSDg-ONS </t>
  </si>
  <si>
    <t xml:space="preserve">TUSDg-T </t>
  </si>
  <si>
    <t>FIO A</t>
  </si>
  <si>
    <t>TIPOLOGIAS - TRANSFORMAÇÃO (AGREGADO) (RELATORIO CTR)</t>
  </si>
  <si>
    <t>TIPOLOGIAS - CARGA (AGREGADO) - RELATORIO CTR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</si>
  <si>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</si>
  <si>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</si>
  <si>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</si>
  <si>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</si>
  <si>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</si>
  <si>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</si>
  <si>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</si>
  <si>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</si>
  <si>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</si>
  <si>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</si>
  <si>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</si>
  <si>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</si>
  <si>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</si>
  <si>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</si>
  <si>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</si>
  <si>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</si>
  <si>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</si>
  <si>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</si>
  <si>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</si>
  <si>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</si>
  <si>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</si>
  <si>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</si>
  <si>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</si>
  <si>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</si>
  <si>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Hmáx-P.</t>
  </si>
  <si>
    <t>Hmáx-FP.</t>
  </si>
  <si>
    <t>Dmáx-P.</t>
  </si>
  <si>
    <t>Dmáx-FP.</t>
  </si>
  <si>
    <t>FATOR DE COINCIDÊNCIA - P</t>
  </si>
  <si>
    <t>PONTA</t>
  </si>
  <si>
    <t>RT-AT-2</t>
  </si>
  <si>
    <t>RT-AT-3</t>
  </si>
  <si>
    <t>RT-MT</t>
  </si>
  <si>
    <t>RT-BT</t>
  </si>
  <si>
    <t>Dmáx-P. (CT)</t>
  </si>
  <si>
    <t>FORA PONTA</t>
  </si>
  <si>
    <t>DEMANDA</t>
  </si>
  <si>
    <t>Dmáx. Refletida na fronteira</t>
  </si>
  <si>
    <t>TARIFA REFERÊNCIA FIO A</t>
  </si>
  <si>
    <t>REDE BÁSICA (TUST RB)</t>
  </si>
  <si>
    <t>EUST - RB</t>
  </si>
  <si>
    <t>TARIFA MÉDIA - preliminar</t>
  </si>
  <si>
    <t>FRONTEIRA (TUST FR)</t>
  </si>
  <si>
    <t>CONEXÃO T (CCT)</t>
  </si>
  <si>
    <t>CCT</t>
  </si>
  <si>
    <t>Dmáx. Refletida 
na fronteira</t>
  </si>
  <si>
    <t xml:space="preserve">Encargo </t>
  </si>
  <si>
    <t>R$/ano</t>
  </si>
  <si>
    <t>Receita recuperada tarifas específicas (TUSDg)</t>
  </si>
  <si>
    <t>total</t>
  </si>
  <si>
    <t>CONEXÃO D (CCD)</t>
  </si>
  <si>
    <t>part.</t>
  </si>
  <si>
    <t>CCD</t>
  </si>
  <si>
    <t>Tarifa média</t>
  </si>
  <si>
    <t>RB (PONTA)</t>
  </si>
  <si>
    <t>RB (FORA PONTA)</t>
  </si>
  <si>
    <t>FR (PONTA)</t>
  </si>
  <si>
    <t>FR (FORA PONTA)</t>
  </si>
  <si>
    <t>CCT (PONTA)</t>
  </si>
  <si>
    <t>CCT (FORA PONTA)</t>
  </si>
  <si>
    <t>CCD (PONTA)</t>
  </si>
  <si>
    <t>CCD (FORA PONTA)</t>
  </si>
  <si>
    <t>CUSD</t>
  </si>
  <si>
    <t>CUSD (PONTA)</t>
  </si>
  <si>
    <t>CUSD (FORA PONTA)</t>
  </si>
  <si>
    <t>RB</t>
  </si>
  <si>
    <t>FIO A (P)</t>
  </si>
  <si>
    <t>TUSD FIO A (PONTA)</t>
  </si>
  <si>
    <t>TUSD FIO A (FORA PONTA)</t>
  </si>
  <si>
    <t>FIO A (FP)</t>
  </si>
  <si>
    <t>ESTRUTURA VERTICAL</t>
  </si>
  <si>
    <t>RT%</t>
  </si>
  <si>
    <r>
      <t>EV</t>
    </r>
    <r>
      <rPr>
        <b/>
        <vertAlign val="superscript"/>
        <sz val="10"/>
        <color theme="0"/>
        <rFont val="Calibri"/>
        <family val="2"/>
        <scheme val="minor"/>
      </rPr>
      <t>M</t>
    </r>
    <r>
      <rPr>
        <b/>
        <sz val="10"/>
        <color theme="0"/>
        <rFont val="Calibri"/>
        <family val="2"/>
        <scheme val="minor"/>
      </rPr>
      <t>%</t>
    </r>
  </si>
  <si>
    <t>B3 - serviço público</t>
  </si>
  <si>
    <t>p</t>
  </si>
  <si>
    <t>pond. Ativ. Comerciais</t>
  </si>
  <si>
    <t>PC%</t>
  </si>
  <si>
    <r>
      <t>VPB</t>
    </r>
    <r>
      <rPr>
        <b/>
        <vertAlign val="subscript"/>
        <sz val="10"/>
        <color theme="1"/>
        <rFont val="Calibri"/>
        <family val="2"/>
        <scheme val="minor"/>
      </rPr>
      <t>TC</t>
    </r>
    <r>
      <rPr>
        <b/>
        <sz val="10"/>
        <color theme="1"/>
        <rFont val="Calibri"/>
        <family val="2"/>
        <scheme val="minor"/>
      </rPr>
      <t>% (comerciais/PB)</t>
    </r>
  </si>
  <si>
    <t>peso ativ. Comerciais</t>
  </si>
  <si>
    <t>RPFP - existente</t>
  </si>
  <si>
    <t>TUSD TRANSPORTE</t>
  </si>
  <si>
    <t>RPFP - proposta</t>
  </si>
  <si>
    <t>TUSD FIO B</t>
  </si>
  <si>
    <t>FIO B 
preliminar</t>
  </si>
  <si>
    <t>MERCADO FATURADO</t>
  </si>
  <si>
    <t>FIO A - mercado curva</t>
  </si>
  <si>
    <t>TRANSPORTE</t>
  </si>
  <si>
    <t>PB tarifas específicas</t>
  </si>
  <si>
    <t>fator diversidade B (P)</t>
  </si>
  <si>
    <t>fator diversidade B (FP)</t>
  </si>
  <si>
    <t>kW.ano</t>
  </si>
  <si>
    <r>
      <t>EV</t>
    </r>
    <r>
      <rPr>
        <b/>
        <vertAlign val="superscript"/>
        <sz val="10"/>
        <color theme="0"/>
        <rFont val="Calibri"/>
        <family val="2"/>
        <scheme val="minor"/>
      </rPr>
      <t>F</t>
    </r>
    <r>
      <rPr>
        <b/>
        <sz val="10"/>
        <color theme="0"/>
        <rFont val="Calibri"/>
        <family val="2"/>
        <scheme val="minor"/>
      </rPr>
      <t>%</t>
    </r>
  </si>
  <si>
    <t>MERCADO CURVA</t>
  </si>
  <si>
    <r>
      <t>EV</t>
    </r>
    <r>
      <rPr>
        <b/>
        <vertAlign val="superscript"/>
        <sz val="10"/>
        <color theme="0"/>
        <rFont val="Calibri"/>
        <family val="2"/>
        <scheme val="minor"/>
      </rPr>
      <t xml:space="preserve">F </t>
    </r>
  </si>
  <si>
    <t>RELAÇÃO POSTOS TARIFÁRIOS - RPFP</t>
  </si>
  <si>
    <t>META</t>
  </si>
  <si>
    <t>(EV)</t>
  </si>
  <si>
    <t>ERRO</t>
  </si>
  <si>
    <t xml:space="preserve">RPFP máxi </t>
  </si>
  <si>
    <t>FC (THS VERDE)</t>
  </si>
  <si>
    <t>SOMA</t>
  </si>
  <si>
    <t>ILUMINAÇÃO PÚBLICA</t>
  </si>
  <si>
    <t xml:space="preserve">DMÁX. </t>
  </si>
  <si>
    <t>COMERCIAL</t>
  </si>
  <si>
    <t>com</t>
  </si>
  <si>
    <t>SERVIÇO PÚBLICO</t>
  </si>
  <si>
    <t>INDUSTRIAL</t>
  </si>
  <si>
    <t>ind</t>
  </si>
  <si>
    <t>RURAL</t>
  </si>
  <si>
    <t>RESIDENCIAL</t>
  </si>
  <si>
    <t>res</t>
  </si>
  <si>
    <t>Resultado RTP</t>
  </si>
  <si>
    <t>Último RTA</t>
  </si>
  <si>
    <t>B1</t>
  </si>
  <si>
    <t>Residencial</t>
  </si>
  <si>
    <t>B2</t>
  </si>
  <si>
    <t>Rural</t>
  </si>
  <si>
    <t>B3</t>
  </si>
  <si>
    <t>Comercial</t>
  </si>
  <si>
    <t>Consumo próprio</t>
  </si>
  <si>
    <t>Industrial</t>
  </si>
  <si>
    <t>Poder público</t>
  </si>
  <si>
    <t>Serviço público</t>
  </si>
  <si>
    <t>B4</t>
  </si>
  <si>
    <t>Iluminação pública</t>
  </si>
  <si>
    <t>USO D</t>
  </si>
  <si>
    <t>ENERGIA CTR</t>
  </si>
  <si>
    <t>EUST - FR</t>
  </si>
  <si>
    <t>IGP-M DRA</t>
  </si>
  <si>
    <t>IGP-M DRP</t>
  </si>
  <si>
    <t>CT-026</t>
  </si>
  <si>
    <t>CT-027</t>
  </si>
  <si>
    <t>CT-028</t>
  </si>
  <si>
    <t>CT-029</t>
  </si>
  <si>
    <t>CT-030</t>
  </si>
  <si>
    <t>CT-031</t>
  </si>
  <si>
    <t>CT-032</t>
  </si>
  <si>
    <t>CT-033</t>
  </si>
  <si>
    <t>CT-034</t>
  </si>
  <si>
    <t>CT-035</t>
  </si>
  <si>
    <t>CT-036</t>
  </si>
  <si>
    <t>CT-037</t>
  </si>
  <si>
    <t>CT-038</t>
  </si>
  <si>
    <t>CT-039</t>
  </si>
  <si>
    <t>CT-040</t>
  </si>
  <si>
    <t>A4-B</t>
  </si>
  <si>
    <t>INJ-A4</t>
  </si>
  <si>
    <t>MW (ano)</t>
  </si>
  <si>
    <t>Soma</t>
  </si>
  <si>
    <t>PROJETADA</t>
  </si>
  <si>
    <t>REAL</t>
  </si>
  <si>
    <t>CT PAR.</t>
  </si>
  <si>
    <t>RT PROJ.</t>
  </si>
  <si>
    <t>RT PAR.</t>
  </si>
  <si>
    <t>REDE-TIPO</t>
  </si>
  <si>
    <t>Módulo</t>
  </si>
  <si>
    <t>Usar informações da Tabela DADOS CCT abaixo para classificar o encargo</t>
  </si>
  <si>
    <t>RPFP Fio B Ajuste RPFP</t>
  </si>
  <si>
    <t>Alterar = igual células azul</t>
  </si>
  <si>
    <t>Check RPFP</t>
  </si>
  <si>
    <t>Check Receita</t>
  </si>
  <si>
    <t>Tipo</t>
  </si>
  <si>
    <t>Ponta</t>
  </si>
  <si>
    <t>Fora Ponta</t>
  </si>
  <si>
    <t>Encargo</t>
  </si>
  <si>
    <t>D1</t>
  </si>
  <si>
    <t>D2</t>
  </si>
  <si>
    <t>TUSD do nível</t>
  </si>
  <si>
    <t>Parcela da TUSD do nível</t>
  </si>
  <si>
    <t>R$/MWh</t>
  </si>
  <si>
    <t>TARIFA REFERÊNCIA FIO B</t>
  </si>
  <si>
    <t>Alíquotas</t>
  </si>
  <si>
    <t>P&amp;D</t>
  </si>
  <si>
    <t>TFSEE</t>
  </si>
  <si>
    <t>BT TIPO 1</t>
  </si>
  <si>
    <t>BT TIPO 2</t>
  </si>
  <si>
    <t>Parâmetros TUSD Modalidade Geração BT</t>
  </si>
  <si>
    <t>Valores Fixos</t>
  </si>
  <si>
    <t>Consumidores Tipo</t>
  </si>
  <si>
    <t>Descrição</t>
  </si>
  <si>
    <t>Número</t>
  </si>
  <si>
    <t>PS</t>
  </si>
  <si>
    <t>PD</t>
  </si>
  <si>
    <t>Consumo Anual [MWh]</t>
  </si>
  <si>
    <t>EINT</t>
  </si>
  <si>
    <t>Mercado [%]</t>
  </si>
  <si>
    <t>kz específico</t>
  </si>
  <si>
    <t>kz B1 ponderado</t>
  </si>
  <si>
    <t>kz B2 ponderado</t>
  </si>
  <si>
    <t>kz B3 ponderado</t>
  </si>
  <si>
    <t xml:space="preserve">PS </t>
  </si>
  <si>
    <t>CA</t>
  </si>
  <si>
    <t>Fonte: relatórioCustoDeCapacidade.xls</t>
  </si>
  <si>
    <t>Fonte: relatorioProporcaoFluxo.xls</t>
  </si>
  <si>
    <t>Fonte: relatorioRedesTipoAjustada.xls</t>
  </si>
  <si>
    <t>Fonte: relatorioConsumidoresTipoAjustada.xls</t>
  </si>
  <si>
    <t>TUSD FIO A (MWh)</t>
  </si>
  <si>
    <t>RINTFP</t>
  </si>
  <si>
    <t>Serviço Publico</t>
  </si>
  <si>
    <t>comercial</t>
  </si>
  <si>
    <t>Custo Médio</t>
  </si>
  <si>
    <t>Tabela 5 – Proporção de Fluxo Total</t>
  </si>
  <si>
    <t>AGREGADO</t>
  </si>
  <si>
    <t>Tabela 7 – Fatores de Perdas de Potência para demanda média</t>
  </si>
  <si>
    <t xml:space="preserve">Tabela 8 – Estrutura Vertical </t>
  </si>
  <si>
    <t>RINT-FP</t>
  </si>
  <si>
    <t>Atual</t>
  </si>
  <si>
    <t>(Último reajuste)</t>
  </si>
  <si>
    <t>RTP</t>
  </si>
  <si>
    <t xml:space="preserve">Tabela 10 - Relação entre os postos tarifários da Tarifa de Referência TUSD TRANSPORTE </t>
  </si>
  <si>
    <t>Anterior</t>
  </si>
  <si>
    <t>kz vigente</t>
  </si>
  <si>
    <t>DADOS-Ativos e Custos</t>
  </si>
  <si>
    <t>DADOS-Mercado</t>
  </si>
  <si>
    <t>DADOS-Diversos</t>
  </si>
  <si>
    <t>DADOS-Campanha</t>
  </si>
  <si>
    <t>DADOS-Relatorios CTR</t>
  </si>
  <si>
    <t>Fonte: Planilha TR 3CRTP</t>
  </si>
  <si>
    <t>fator de carga TFSEE</t>
  </si>
  <si>
    <t>O&amp;M Encargo</t>
  </si>
  <si>
    <t>Quantidade</t>
  </si>
  <si>
    <t>Custo - Valor Presente</t>
  </si>
  <si>
    <t>TOTAL AIS</t>
  </si>
  <si>
    <t>Referência</t>
  </si>
  <si>
    <t>Participação Financeira</t>
  </si>
  <si>
    <t>O.E</t>
  </si>
  <si>
    <t>Taxa Depreciação</t>
  </si>
  <si>
    <t>Vida Útil</t>
  </si>
  <si>
    <t>Anos</t>
  </si>
  <si>
    <t>Entrada em operação</t>
  </si>
  <si>
    <t>Tempo</t>
  </si>
  <si>
    <t>Depreciação Acumulada (R$)</t>
  </si>
  <si>
    <t>Amortização Acumulada (R$)</t>
  </si>
  <si>
    <t>Vida útil residual (anos)</t>
  </si>
  <si>
    <t>Depreciação Acumulada (BRRb)</t>
  </si>
  <si>
    <t>Base Liquida BRRl(R$)</t>
  </si>
  <si>
    <t>Quota Anual R$</t>
  </si>
  <si>
    <t>Amortização anual (OE) (R$)</t>
  </si>
  <si>
    <t>RECEITA AO LONGO DO CICLO</t>
  </si>
  <si>
    <t>Unitário*</t>
  </si>
  <si>
    <t>1. Ativo Imobilizado em Serviço (AIS)</t>
  </si>
  <si>
    <t>2. Depreciação Acumulada do AIS</t>
  </si>
  <si>
    <t xml:space="preserve">   2.1. Depreciação no ano</t>
  </si>
  <si>
    <t>3. Saldo Líquido do AIS</t>
  </si>
  <si>
    <t>4. Saldo Bruto das Obrigações Especiais</t>
  </si>
  <si>
    <t xml:space="preserve">   4.1. Amortização no ano</t>
  </si>
  <si>
    <t xml:space="preserve">   4.2. Amortização acumulada</t>
  </si>
  <si>
    <t xml:space="preserve">   4.3. Saldo líquido das obrigações especiais</t>
  </si>
  <si>
    <t>5. Base de Remuneração Líquida</t>
  </si>
  <si>
    <t>Ano 1</t>
  </si>
  <si>
    <t>Ano 2</t>
  </si>
  <si>
    <t>Ano 3</t>
  </si>
  <si>
    <t>Ano 4</t>
  </si>
  <si>
    <t>Ano 5</t>
  </si>
  <si>
    <t>Remuneração</t>
  </si>
  <si>
    <t>QRR</t>
  </si>
  <si>
    <t>Custos operacionais</t>
  </si>
  <si>
    <t>PARCELA A</t>
  </si>
  <si>
    <t>ENCARGO ANUAL</t>
  </si>
  <si>
    <t>ENCARGO ANUAL PARA O CICLO TARIFÁRIO</t>
  </si>
  <si>
    <t>COMPOSIÇÃO DO ENCARGO</t>
  </si>
  <si>
    <t>VPL do Ciclo (R$)</t>
  </si>
  <si>
    <t>Encargo anual (R$)</t>
  </si>
  <si>
    <t>Encargo mensal (R$)</t>
  </si>
  <si>
    <t>Custos Operacionais</t>
  </si>
  <si>
    <t>Duração do ciclo</t>
  </si>
  <si>
    <t>Anexo III</t>
  </si>
  <si>
    <t xml:space="preserve"> </t>
  </si>
  <si>
    <t>BRANCA</t>
  </si>
  <si>
    <t>NA</t>
  </si>
  <si>
    <t>PT</t>
  </si>
  <si>
    <t>PT RB</t>
  </si>
  <si>
    <t>SUBGRUPO</t>
  </si>
  <si>
    <t>MODALIDADE</t>
  </si>
  <si>
    <t>ACESSANTE</t>
  </si>
  <si>
    <t>DETALHE</t>
  </si>
  <si>
    <t>UNIDADE</t>
  </si>
  <si>
    <t>DISTRIBUIÇÃO</t>
  </si>
  <si>
    <t>INCLUIR TUST DO PONTO DE CONEXÃO</t>
  </si>
  <si>
    <t>OBSERVAÇÃO</t>
  </si>
  <si>
    <t>INCLUIR TUST RB E FR DO PONTO DE CONEXÃO</t>
  </si>
  <si>
    <t>CLASSE</t>
  </si>
  <si>
    <t>SUBCLASSE</t>
  </si>
  <si>
    <t>CONVENCIONAL PRÉ-PAGAMENTO</t>
  </si>
  <si>
    <t>Iluminação pública – B4a</t>
  </si>
  <si>
    <t>Iluminação pública – B4b</t>
  </si>
  <si>
    <t>PARÂMETRO</t>
  </si>
  <si>
    <t>CATEGORIA</t>
  </si>
  <si>
    <t>AGENTE_ACESSANTE</t>
  </si>
  <si>
    <t xml:space="preserve">UNIDADE </t>
  </si>
  <si>
    <t>VALOR</t>
  </si>
  <si>
    <t>FIO B - DISTRIBUIÇÃO</t>
  </si>
  <si>
    <t>ENCARGO - P&amp;D</t>
  </si>
  <si>
    <t>ENCARGO - TFSEE</t>
  </si>
  <si>
    <t>IdAgente</t>
  </si>
  <si>
    <t>Agente</t>
  </si>
  <si>
    <t>Tipo 2</t>
  </si>
  <si>
    <t>TUSDg BT Tipo 1</t>
  </si>
  <si>
    <t>Tipo 1</t>
  </si>
  <si>
    <t>UHE JAURU (CINCO ESTRELAS)</t>
  </si>
  <si>
    <t>NOVO GERADOR</t>
  </si>
  <si>
    <t>PCH AGROTRAFO</t>
  </si>
  <si>
    <t>Agro Trafo</t>
  </si>
  <si>
    <t>Não se aplica</t>
  </si>
  <si>
    <t>Poder Público</t>
  </si>
  <si>
    <t>Serviço Público</t>
  </si>
  <si>
    <t>F</t>
  </si>
  <si>
    <t>Autoprodutor</t>
  </si>
  <si>
    <t>Fonte Incentivada</t>
  </si>
  <si>
    <t>Serviço Público (tração elétrica)</t>
  </si>
  <si>
    <t>PILON J.PILON S/A AÇÚCAR E ÁLCOOL</t>
  </si>
  <si>
    <t>COINBRA CRESCIUMAL S/A</t>
  </si>
  <si>
    <t>AÇOMINAS</t>
  </si>
  <si>
    <t>Açominas</t>
  </si>
  <si>
    <t>INPACEL INDÚSTRIA DE PAPEL ARAPOTI S/A</t>
  </si>
  <si>
    <t>ESTER</t>
  </si>
  <si>
    <t>Ester</t>
  </si>
  <si>
    <t>CEAM COMPANHIA ENERGÉTICA DO AMAZONAS</t>
  </si>
  <si>
    <t>ETO</t>
  </si>
  <si>
    <t>SAELPA SAELPA S/A DE ELETRIFICAÇÃO DA PARAÍBA</t>
  </si>
  <si>
    <t>ALEGRE</t>
  </si>
  <si>
    <t>Alegre</t>
  </si>
  <si>
    <t>CHESF</t>
  </si>
  <si>
    <t>CHESF COMPANHIA HIDRO ELÉTRICA DO SÃO FRANCISCO</t>
  </si>
  <si>
    <t>CEMIG COMPANHIA ENERGÉTICA DE MINAS GERAIS</t>
  </si>
  <si>
    <t>CFLCL COMPANHIA FORÇA E LUZ CATAGUAZES-LEOPOLDINA</t>
  </si>
  <si>
    <t>CENF COMPANHIA DE ELETRICIDADE NOVA FRIBURGO</t>
  </si>
  <si>
    <t>UTE ALTA MOGIANA</t>
  </si>
  <si>
    <t>Alta Mogiana</t>
  </si>
  <si>
    <t>CESP COMPANHIA ENERGÉTICA DE SÃO PAULO</t>
  </si>
  <si>
    <t>AES TIETÊ AES TIETÊ S/A</t>
  </si>
  <si>
    <t>Alto Araguaia</t>
  </si>
  <si>
    <t>Alto Benedito Novo</t>
  </si>
  <si>
    <t>PCH ANTONIO BRENNAND (ALTO JAURU)</t>
  </si>
  <si>
    <t>Antônio Brennand (Antiga  Alto Jauru)</t>
  </si>
  <si>
    <t>Alto Paraguai (Pedro Pedrossian)</t>
  </si>
  <si>
    <t>COPEL COMPANHIA PARANAENSE DE ENERGIA</t>
  </si>
  <si>
    <t>Americana</t>
  </si>
  <si>
    <t>CGTEE COMPANHIA DE GERAÇÃO TÉRMICA DE ENERGIA ELÉTRICA</t>
  </si>
  <si>
    <t>PCH GUARY E ANNA MARIA</t>
  </si>
  <si>
    <t>Anna Maria</t>
  </si>
  <si>
    <t>CEB COMPANHIA ENERGÉTICA DE BRASÍLIA</t>
  </si>
  <si>
    <t>PCH ANTAS 1</t>
  </si>
  <si>
    <t>AÇUCAREIRA ZILLO LORENZETTI S/A</t>
  </si>
  <si>
    <t>NOVELIS NOVELIS DO BRASIL LTDA</t>
  </si>
  <si>
    <t>APIAÍ</t>
  </si>
  <si>
    <t>Apiaí</t>
  </si>
  <si>
    <t>Apucaraninha</t>
  </si>
  <si>
    <t>CENIBRA S/A CELULOSE NIPO - BRASILEIRA S/A</t>
  </si>
  <si>
    <t>INTERNATIONAL PAPER DO BRASIL LTDA</t>
  </si>
  <si>
    <t>CIMENTO RIO BRANCO S/A</t>
  </si>
  <si>
    <t>COMPANHIA AÇUCAREIRA VALE DO ROSÁRIO</t>
  </si>
  <si>
    <t>UTE ARCEL</t>
  </si>
  <si>
    <t>Aracruz</t>
  </si>
  <si>
    <t>BONDESPACHENSE COMPANHIA INDUSTRIAL ALIANÇA BONDESPACHENSE</t>
  </si>
  <si>
    <t>CIBH COMPANHIA INDUSTRIAL BELO HORIZONTE</t>
  </si>
  <si>
    <t>U.S.J. - AÇÚCAR E ÁLCOOL S/A</t>
  </si>
  <si>
    <t>AREAL</t>
  </si>
  <si>
    <t>Areal</t>
  </si>
  <si>
    <t>COMPANHIA PARAIBUNA DE METAIS</t>
  </si>
  <si>
    <t>BELGO COMPANHIA SIDERÚRGICA BELGO-MINEIRA</t>
  </si>
  <si>
    <t>COMPANHIA SIDERÚRGICA DE TUBARÃO</t>
  </si>
  <si>
    <t>DEDINI S/A  INDÚSTRIA E COMÉRCIO</t>
  </si>
  <si>
    <t>DESTILARIA GALO BRAVO S/A AÇÚCAR E ÁLCOOL</t>
  </si>
  <si>
    <t>ARS</t>
  </si>
  <si>
    <t>IRMÃOS BIAGI S/A AÇÚCAR E ÁLCOOL</t>
  </si>
  <si>
    <t>INFOGLOBO COMUNICAÇÕES LTDA</t>
  </si>
  <si>
    <t>REFAP S/A REFINARIA ALBERTO PASQUALINI</t>
  </si>
  <si>
    <t>REPAR REFINARIA GETÚLIO VARGAS - PETROBRÁS</t>
  </si>
  <si>
    <t>REVAP REFINARIA HENRIQUES LAJES - PETROBRÁS</t>
  </si>
  <si>
    <t>RLAM REFINARIA LANDULPHO ALVES - PETROBRÁS</t>
  </si>
  <si>
    <t>REPLAN REFINARIA PAULÍNIA - PETROBRÁS</t>
  </si>
  <si>
    <t>BAHIA PULP (ANTIGA BACELL)</t>
  </si>
  <si>
    <t>Bahia Pulp (Antiga Bacell)</t>
  </si>
  <si>
    <t>Bagagem</t>
  </si>
  <si>
    <t>UTE SUZANO MUCURI</t>
  </si>
  <si>
    <t>SANTA MARIA COMPANHIA PAPEL E CELULOSE</t>
  </si>
  <si>
    <t>USINA ALTA MOGIANA S/A AÇÚCAR E ÁLCOOL</t>
  </si>
  <si>
    <t>USINA COLOMBO S/A AÇÚCAR E ÁLCOOL</t>
  </si>
  <si>
    <t>BARRALCOOL USINA BARRALCOOL S/A</t>
  </si>
  <si>
    <t>USINA DE AÇÚCAR E ÁLCOOL  MB LTDA</t>
  </si>
  <si>
    <t>USINA MARACAÍ S/A AÇÚCAR E ÁLCOOL</t>
  </si>
  <si>
    <t>PIE-RP TERMOELÉTRICA S/A</t>
  </si>
  <si>
    <t>USINA SÃO MARTINHO S/A</t>
  </si>
  <si>
    <t>Columbian Chemicals Brasil S.A.</t>
  </si>
  <si>
    <t>VALESUL VALESUL ALUMÍNIO S/A</t>
  </si>
  <si>
    <t>UHE BARIRI (A.S.LIMA)</t>
  </si>
  <si>
    <t>Bariri (Álvaro de Souza Lima)</t>
  </si>
  <si>
    <t>SÃO MARTINHO S/A</t>
  </si>
  <si>
    <t>COLUMBIAN CHEMICALS</t>
  </si>
  <si>
    <t>COLUMBIAN CHEMICALS BRASIL LTDA</t>
  </si>
  <si>
    <t>UHE BARRA BONITA</t>
  </si>
  <si>
    <t>Barra Bonita</t>
  </si>
  <si>
    <t>JARI JARI CELULOSE, PAPEL E EMBALAGENS S.A.</t>
  </si>
  <si>
    <t>UHE BARRA DO BRAÚNA</t>
  </si>
  <si>
    <t>Barra do Braúna</t>
  </si>
  <si>
    <t>CEM COMPANHIA ENERGÉTICA MERIDIONAL</t>
  </si>
  <si>
    <t>Barralcool</t>
  </si>
  <si>
    <t>PCH BARUITO</t>
  </si>
  <si>
    <t>Baruíto</t>
  </si>
  <si>
    <t>CSN COMPANHIA SIDERÚRGICA NACIONAL</t>
  </si>
  <si>
    <t>Viçosa (Bicame)</t>
  </si>
  <si>
    <t>BICAS</t>
  </si>
  <si>
    <t>Bicas</t>
  </si>
  <si>
    <t>BOA VISTA II</t>
  </si>
  <si>
    <t>Boa Vista II</t>
  </si>
  <si>
    <t>PCH BONFANTE</t>
  </si>
  <si>
    <t>Bonfante</t>
  </si>
  <si>
    <t>Bracinho</t>
  </si>
  <si>
    <t>Brecha</t>
  </si>
  <si>
    <t>Brito</t>
  </si>
  <si>
    <t>PCH BUGRES</t>
  </si>
  <si>
    <t>Bugres</t>
  </si>
  <si>
    <t>Buritis</t>
  </si>
  <si>
    <t>PCH CABOCLO</t>
  </si>
  <si>
    <t>Caboclo</t>
  </si>
  <si>
    <t>ELETRONORTE</t>
  </si>
  <si>
    <t>ELETRONORTE CENTRAIS ELÉTRICAS DO NORTE DO BRASIL S/A.</t>
  </si>
  <si>
    <t>MANAUS-ENERGIA MANAUS ENERGIA S/A</t>
  </si>
  <si>
    <t>CELB COMPANHIA ENERGÉTICA DA BORBOREMA</t>
  </si>
  <si>
    <t>ENERGIPE EMPRESA ENERGÉTICA DE SERGIPE S/A.</t>
  </si>
  <si>
    <t>ELETRONUCLEAR ELETROBRÁSTERMONUCLEAR S/A.</t>
  </si>
  <si>
    <t>DUKE  DUKE ENERGY INTERNATIONAL, GERAÇÃO PARANAPANEMA S/A.</t>
  </si>
  <si>
    <t>CAIUÁ CAIUÁ SERVIÇOS DE ELETRICIDADE S/A.</t>
  </si>
  <si>
    <t>EEVP EMPRESA DE ELETRICIDADE VALE PARANAPANEMA S/A</t>
  </si>
  <si>
    <t>EMAE EMPRESA METROPOLITANA DE ÁGUAS E ENERGIA  S/A.</t>
  </si>
  <si>
    <t>FURNAS</t>
  </si>
  <si>
    <t>FURNAS FURNAS CENTRAIS ELÉTRICAS S/A.</t>
  </si>
  <si>
    <t>CELESC CENTRAIS ELÉTRICAS SANTA CATARINA S/A</t>
  </si>
  <si>
    <t>ELETROSUL ELETROSUL CENTRAIS ELÉTRICAS S/A</t>
  </si>
  <si>
    <t>TRACTEBEL TRACTEBEL ENERGIA S/A</t>
  </si>
  <si>
    <t>CELG COMPANHIA ENERGÉTICA DE GOIÁS</t>
  </si>
  <si>
    <t>ELETROBRÁS CENTRAIS ELÉTRICAS BRASILEIRAS S/A</t>
  </si>
  <si>
    <t>PPE PONTE DE PEDRA ENERGÉTICA S/A</t>
  </si>
  <si>
    <t>ROSAL ENERGIA S/A</t>
  </si>
  <si>
    <t>BARRA MANSA SIDERÚRGICA BARRA MANSA  S/A</t>
  </si>
  <si>
    <t>ITASA ITÁ ENERGÉTICA S/A</t>
  </si>
  <si>
    <t>ITAPEBI GERAÇÃO DE ENERGIA S/A</t>
  </si>
  <si>
    <t>PCH JOAO CAMILO PENA</t>
  </si>
  <si>
    <t>João Camilo Penna (Ex-Cachoeira do Emboque)</t>
  </si>
  <si>
    <t>VOTORANTIM CELULOSE E PAPEL S/A</t>
  </si>
  <si>
    <t>ARACRUZ CELULOSE S/A.</t>
  </si>
  <si>
    <t>BAHIA SPECIALTY CELLULOSE S.A</t>
  </si>
  <si>
    <t>FLP FERRO LIGAS PIRACICABA LTDA</t>
  </si>
  <si>
    <t>OMETTO PAVAN S/A  AÇÚCAR E ÁLCOOL</t>
  </si>
  <si>
    <t>NARDINI AGROINDUSTRIAL  LTDA</t>
  </si>
  <si>
    <t>COMPANHIA ENERGÉTICA SANTA ELISA</t>
  </si>
  <si>
    <t>ENERGYWORKS DO BRASIL LTDA</t>
  </si>
  <si>
    <t>MAFRÁS MAFRÁS ENERGIA E REFLORESTAMENTO LTDA.</t>
  </si>
  <si>
    <t>FLORALCO</t>
  </si>
  <si>
    <t>FLORALCO AÇÚCAR E ÁLCOOL LTDA</t>
  </si>
  <si>
    <t>ANHAMBI ANHAMBI ALIMENTOS LTDA</t>
  </si>
  <si>
    <t>ARAPUCEL ARAPUTANGA CENTRAIS ELÉTRICAS S/A.</t>
  </si>
  <si>
    <t>SANTA CÂNDIDA AÇÚCAR E ÁLCOOL LTDA.</t>
  </si>
  <si>
    <t>GACEL GALERA CENTRAIS ELÉTRICAS S/A</t>
  </si>
  <si>
    <t>MINERAÇÃO MORRO VELHO LTDA.</t>
  </si>
  <si>
    <t>USINA MANDU S/A</t>
  </si>
  <si>
    <t>ORSA ORSA CELULOSE, PAPEL E EMBALAGENS S/A.</t>
  </si>
  <si>
    <t>TROMBINI TROMBINI PAPEL E EMBALAGENS S/A.</t>
  </si>
  <si>
    <t>CEOLPAR CENTRAIS EÓLICAS DO PARANÁ LTDA.</t>
  </si>
  <si>
    <t>COSTA RICA ENERGÉTICA LTDA</t>
  </si>
  <si>
    <t>UHE CACHOEIRA DOURADA</t>
  </si>
  <si>
    <t>Cachoeira Dourada</t>
  </si>
  <si>
    <t>ENERGÉTICA RIO PEDRINHO S/A.</t>
  </si>
  <si>
    <t>CELTINS CELTINS ENERGÉTICA S/A.</t>
  </si>
  <si>
    <t>FCE FOZ DO CHOPIM ENERGÉTICA LTDA.</t>
  </si>
  <si>
    <t>TERMOBAHIA S/A</t>
  </si>
  <si>
    <t>AIR LIQUIDE BRASIL LTDA</t>
  </si>
  <si>
    <t>U.E.G. ARAUCÁRIA LTDA.</t>
  </si>
  <si>
    <t>BT GERADORA DE ENERGIA ELÉTRICA S/A</t>
  </si>
  <si>
    <t>BRASCAN BRASCAN ENERGÉTICA S/A</t>
  </si>
  <si>
    <t>USINA AÇUCAREIRA ESTER S/A.</t>
  </si>
  <si>
    <t>PETROBRÁS PETRÓLEO BRASILEIRO S/A</t>
  </si>
  <si>
    <t>USINA SÃO JOSÉ DA ESTIVA S/A AÇÚCAR E ÁLCOOL</t>
  </si>
  <si>
    <t>USINA SÃO DOMINGOS - AÇÚCAR E ÁLCOOL S/A</t>
  </si>
  <si>
    <t>S/A USINA CORURIPE AÇÚCAR E ÁLCOOL</t>
  </si>
  <si>
    <t>TERMORIO S/A</t>
  </si>
  <si>
    <t>USINA MOEMA AÇÚCAR E ÁLCOOL LTDA.</t>
  </si>
  <si>
    <t>CENTRO BRASILEIRO DE ENERGIA EÓLICA - FADE/UFPE</t>
  </si>
  <si>
    <t>BIOENERGIA DO BRASIL S/A</t>
  </si>
  <si>
    <t>ANTÔNIO RUETTE AGROINDUSTRIAL LTDA.</t>
  </si>
  <si>
    <t>LWARCEL CELULOSE LTDA</t>
  </si>
  <si>
    <t>UHE CACONDE</t>
  </si>
  <si>
    <t>CACONDE</t>
  </si>
  <si>
    <t>Caete</t>
  </si>
  <si>
    <t>Caeté</t>
  </si>
  <si>
    <t>UHE CAJURU</t>
  </si>
  <si>
    <t>Cajurú</t>
  </si>
  <si>
    <t>CRELUZ-D COOPERATIVA DE DISTRIBUIÇÃO DE ENERGIA CRELUZ-D</t>
  </si>
  <si>
    <t>Diamante (Ex.Camargo Corrêa) (Ex.Arrossensal)</t>
  </si>
  <si>
    <t>UHE CAMARGOS</t>
  </si>
  <si>
    <t>Camargos</t>
  </si>
  <si>
    <t>AES URUGUAIANA EMPREENDIMENTOS LTDA.</t>
  </si>
  <si>
    <t>VIRALCOOL - AÇUCAR E ÁLCOOL LTDA.</t>
  </si>
  <si>
    <t>USINA BARRA GRANDE DE LENCÓIS S/A.</t>
  </si>
  <si>
    <t>RIPASA RIPASA S/A - CELULOSE E PAPEL</t>
  </si>
  <si>
    <t>ARROSSENSAL AGROPECUÁRIA E INDUSTRIAL S/A</t>
  </si>
  <si>
    <t>QGE QUEIROZ GALVÃO ENERGÉTICA S/A.</t>
  </si>
  <si>
    <t>CINCO ESTRELAS AGROPECUÁRIA E PARTICIPAÇÕES LTDA</t>
  </si>
  <si>
    <t>CEESAM COOPERATIVA DE ENERGIA ELÉTRICA SANTA MARIA LTDA.</t>
  </si>
  <si>
    <t>CANA BRAVA</t>
  </si>
  <si>
    <t>Cana Brava</t>
  </si>
  <si>
    <t>LASA LAGO AZUL S.A.</t>
  </si>
  <si>
    <t>CVRD COMPANHIA VALE DO RIO DOCE</t>
  </si>
  <si>
    <t>DESTILARIA ÁGUA BONITA LTDA.</t>
  </si>
  <si>
    <t>UHE CANASTRA</t>
  </si>
  <si>
    <t>Canastra</t>
  </si>
  <si>
    <t>UHE RISOLETA NEVES (CANDONGA)</t>
  </si>
  <si>
    <t>Risoleta Neves (Antiga Candonga)</t>
  </si>
  <si>
    <t>ENERCAN CAMPOS NOVOS ENERGIA S/A.</t>
  </si>
  <si>
    <t>Canoa Quebrada</t>
  </si>
  <si>
    <t>UHE CANOAS I</t>
  </si>
  <si>
    <t>Canoas I</t>
  </si>
  <si>
    <t>PCH CAPIGUI</t>
  </si>
  <si>
    <t>Capigui</t>
  </si>
  <si>
    <t>CIEN COMPANHIA DE INTERCONEXÃO ENERGÉTICA</t>
  </si>
  <si>
    <t>TRADENER TRADENER LTDA</t>
  </si>
  <si>
    <t>PCH CAPIVARI</t>
  </si>
  <si>
    <t>CESC COMPANHIA ENERGÉTICA SANTA CLARA</t>
  </si>
  <si>
    <t>ALCOA ALCOA ALUMÍNIO S/A</t>
  </si>
  <si>
    <t>PROMAN PRODUTORES ENERGÉTICOS DE MANSO S/A</t>
  </si>
  <si>
    <t>Carandaí</t>
  </si>
  <si>
    <t>DFESA DONA FRANCISCA ENERGÉTICA S/A</t>
  </si>
  <si>
    <t>INVESTCO INVESTCO S/A</t>
  </si>
  <si>
    <t>RLE REDE LAJEADO ENERGIA S/A</t>
  </si>
  <si>
    <t>PAULISTA LAJEADO ENERGIA S/A</t>
  </si>
  <si>
    <t>CEBLAJEADO CEB LAJEADO S/A</t>
  </si>
  <si>
    <t>EDP LAJEADO ENERGIA S/A</t>
  </si>
  <si>
    <t>UTNF USINA TERMÉLETRICA NORTE FLUMINENSE S/A</t>
  </si>
  <si>
    <t>CAMIL ALIMENTOS S/A</t>
  </si>
  <si>
    <t>PCH CASCA III</t>
  </si>
  <si>
    <t>Casca III</t>
  </si>
  <si>
    <t>COTEMINAS COMPANHIA DE TECIDOS NORTE DE MINAS</t>
  </si>
  <si>
    <t>ITISA ITIQUIRA ENERGÉTICA S/A</t>
  </si>
  <si>
    <t>CBA COMPANHIA BRASILEIRA DE ALUMÍNIO</t>
  </si>
  <si>
    <t>Andorinhas</t>
  </si>
  <si>
    <t>CISFRAMA COMÉRCIO E INDÚSTRIA DE MADEIRA SÃO FRANCISCO LTDA</t>
  </si>
  <si>
    <t>GRANDVIEW ENERGIA LTDA</t>
  </si>
  <si>
    <t>CESA CASTELO ENERGÉTICA S/A</t>
  </si>
  <si>
    <t>TERMOMACAÉ LTDA</t>
  </si>
  <si>
    <t>CAT-LEO ENERGIA S/A</t>
  </si>
  <si>
    <t>GUARANI S.A</t>
  </si>
  <si>
    <t>Caveiras</t>
  </si>
  <si>
    <t>Cavernoso</t>
  </si>
  <si>
    <t>Cedros</t>
  </si>
  <si>
    <t>Cedros (Rio dos Cedros)</t>
  </si>
  <si>
    <t>Celso Ramos</t>
  </si>
  <si>
    <t>Chaminé</t>
  </si>
  <si>
    <t>COGERAÇÃO INTERNATIONAL PAPER - FASES I E II</t>
  </si>
  <si>
    <t>Cogeração International Paper - Fases I e II</t>
  </si>
  <si>
    <t>CHAVE DO VAZ</t>
  </si>
  <si>
    <t>Chave do Vaz</t>
  </si>
  <si>
    <t>Chibarro</t>
  </si>
  <si>
    <t>Chopim I</t>
  </si>
  <si>
    <t>UHE COARACY NUNES</t>
  </si>
  <si>
    <t>COARACY NUNES</t>
  </si>
  <si>
    <t>CODORNA</t>
  </si>
  <si>
    <t>Codorna</t>
  </si>
  <si>
    <t>UTE COLOMBO - ARIRANHA</t>
  </si>
  <si>
    <t>Colombo</t>
  </si>
  <si>
    <t>Energy Works Kaiser Pacatuba</t>
  </si>
  <si>
    <t>Conrado Heitor de Queiroz</t>
  </si>
  <si>
    <t>UTE COLUMBIAN CHEMICALS</t>
  </si>
  <si>
    <t>Negro de Fumo</t>
  </si>
  <si>
    <t>PCH CORONEL DOMICIANO</t>
  </si>
  <si>
    <t>Coronel Domiciano</t>
  </si>
  <si>
    <t>Aquarius</t>
  </si>
  <si>
    <t>Corumbataí</t>
  </si>
  <si>
    <t>PCH COSTA RICA</t>
  </si>
  <si>
    <t>Costa Rica</t>
  </si>
  <si>
    <t>ENGENHEIRO BERNARDO FIGUEIREDO</t>
  </si>
  <si>
    <t>Engenheiro Bernardo Figueiredo</t>
  </si>
  <si>
    <t>UHE ERNESTINA</t>
  </si>
  <si>
    <t>Ernestina</t>
  </si>
  <si>
    <t>Esmeril</t>
  </si>
  <si>
    <t>UHE ESPORA</t>
  </si>
  <si>
    <t>Espora</t>
  </si>
  <si>
    <t>UTE ESTER</t>
  </si>
  <si>
    <t>Usina Açucareira Ester S/A</t>
  </si>
  <si>
    <t>EUCLIDELÂNDIA</t>
  </si>
  <si>
    <t>Euclidelândia</t>
  </si>
  <si>
    <t>UHE EUCLIDES DA CUNHA</t>
  </si>
  <si>
    <t>EUCLIDES DA CUNHA</t>
  </si>
  <si>
    <t>FAGUNDES</t>
  </si>
  <si>
    <t>Fagundes</t>
  </si>
  <si>
    <t>FAXINAL L</t>
  </si>
  <si>
    <t>Faxinal l</t>
  </si>
  <si>
    <t>UTE FIGUEIRA</t>
  </si>
  <si>
    <t>Figueira</t>
  </si>
  <si>
    <t>UHE FONTES NOVA</t>
  </si>
  <si>
    <t>Fontes Nova</t>
  </si>
  <si>
    <t>PCH FORQUILHA</t>
  </si>
  <si>
    <t>Forquilha</t>
  </si>
  <si>
    <t>FRANCA AMARAL</t>
  </si>
  <si>
    <t>Franca Amaral</t>
  </si>
  <si>
    <t>Fruteiras</t>
  </si>
  <si>
    <t>UHE FUNIL - MG</t>
  </si>
  <si>
    <t>Funil</t>
  </si>
  <si>
    <t>Furnas do Segredo</t>
  </si>
  <si>
    <t>PCH GAFANHOTO</t>
  </si>
  <si>
    <t>Gafanhoto</t>
  </si>
  <si>
    <t>Galvani</t>
  </si>
  <si>
    <t>PCH GARCIA</t>
  </si>
  <si>
    <t>Garcia</t>
  </si>
  <si>
    <t>Gavião Peixoto</t>
  </si>
  <si>
    <t>GLORIA</t>
  </si>
  <si>
    <t>Glória</t>
  </si>
  <si>
    <t>PCH TULIO C. DE MELO (GRANADA)</t>
  </si>
  <si>
    <t>Túlio Cordeiro de Mello (Ex-Granada)</t>
  </si>
  <si>
    <t>UHE GUAPORE</t>
  </si>
  <si>
    <t>Guaporé</t>
  </si>
  <si>
    <t>Guaricana</t>
  </si>
  <si>
    <t>PCH GUARITA</t>
  </si>
  <si>
    <t>Guarita</t>
  </si>
  <si>
    <t>GUARY</t>
  </si>
  <si>
    <t>Guary</t>
  </si>
  <si>
    <t>HANS</t>
  </si>
  <si>
    <t>Hans</t>
  </si>
  <si>
    <t>UHE HENRY BORDEN</t>
  </si>
  <si>
    <t>Henry Borden</t>
  </si>
  <si>
    <t>PCH HERVAL</t>
  </si>
  <si>
    <t>Herval</t>
  </si>
  <si>
    <t>UTE AURELIANO CHAVES (IBIRITE)</t>
  </si>
  <si>
    <t>Aureliano Chaves (Antiga Ibirité)</t>
  </si>
  <si>
    <t>UHE IBITINGA</t>
  </si>
  <si>
    <t>Ibitinga</t>
  </si>
  <si>
    <t>UHE IGARAPAVA</t>
  </si>
  <si>
    <t>Igarapava</t>
  </si>
  <si>
    <t>UTE IGARAPE</t>
  </si>
  <si>
    <t>Igarapé</t>
  </si>
  <si>
    <t>UHE ILHA DOS POMBOS</t>
  </si>
  <si>
    <t>Ilha dos Pombos</t>
  </si>
  <si>
    <t>ILHÉUS</t>
  </si>
  <si>
    <t>Ilhéus</t>
  </si>
  <si>
    <t>Irara</t>
  </si>
  <si>
    <t>Isamu Ikeda</t>
  </si>
  <si>
    <t>ITUERE</t>
  </si>
  <si>
    <t>Ituerê</t>
  </si>
  <si>
    <t>UHE ITUTINGA</t>
  </si>
  <si>
    <t>Itutinga</t>
  </si>
  <si>
    <t>Ivaí</t>
  </si>
  <si>
    <t>Ivo Silveira</t>
  </si>
  <si>
    <t>UHE JACUI</t>
  </si>
  <si>
    <t>Jacuí</t>
  </si>
  <si>
    <t>JACUTINGA</t>
  </si>
  <si>
    <t>Jacutinga</t>
  </si>
  <si>
    <t>UHE JAURU</t>
  </si>
  <si>
    <t>Jauru</t>
  </si>
  <si>
    <t>JOÃO DE DEUS</t>
  </si>
  <si>
    <t>João de Deus</t>
  </si>
  <si>
    <t>PCH JOASAL</t>
  </si>
  <si>
    <t>Joasal</t>
  </si>
  <si>
    <t>Jorda Flor</t>
  </si>
  <si>
    <t>UTE JORGE LACERDA A</t>
  </si>
  <si>
    <t>Jorge Lacerda I e II</t>
  </si>
  <si>
    <t>UHE JUBA I</t>
  </si>
  <si>
    <t>Juba I</t>
  </si>
  <si>
    <t>UHE JUBA II</t>
  </si>
  <si>
    <t>Juba II</t>
  </si>
  <si>
    <t>Jucu</t>
  </si>
  <si>
    <t>UTE JUIZ DE FORA</t>
  </si>
  <si>
    <t>Juiz de Fora</t>
  </si>
  <si>
    <t>PCH FOZ DO CHOPIM</t>
  </si>
  <si>
    <t>Júlio de Mesquita Filho (Foz do Chopim)</t>
  </si>
  <si>
    <t>UHE JUPIA</t>
  </si>
  <si>
    <t>Jupiá (Eng° Souza Dias)</t>
  </si>
  <si>
    <t>Lago Azul</t>
  </si>
  <si>
    <t>Lajes</t>
  </si>
  <si>
    <t>LARANJA DOCE</t>
  </si>
  <si>
    <t>Laranja Doce</t>
  </si>
  <si>
    <t>LAVRINHA</t>
  </si>
  <si>
    <t>Lavrinha</t>
  </si>
  <si>
    <t>Lençóis</t>
  </si>
  <si>
    <t>UHE LIMOEIRO (A.S.OLIVEIRA)</t>
  </si>
  <si>
    <t>LIMOEIRO (ARMANDO SALLES DE OLIVEIRA)</t>
  </si>
  <si>
    <t>Lobo</t>
  </si>
  <si>
    <t>Luiz Queiroz</t>
  </si>
  <si>
    <t>LUIZ DIAS</t>
  </si>
  <si>
    <t>Luiz Dias</t>
  </si>
  <si>
    <t>MACABU</t>
  </si>
  <si>
    <t>Macabu</t>
  </si>
  <si>
    <t>PCH MACACO BRANCO</t>
  </si>
  <si>
    <t>Macaco Branco</t>
  </si>
  <si>
    <t>MACHADO MINEIRO</t>
  </si>
  <si>
    <t>Machado Mineiro</t>
  </si>
  <si>
    <t>UTE MARACAI</t>
  </si>
  <si>
    <t>Maracaí</t>
  </si>
  <si>
    <t>RIO MARGARIDA</t>
  </si>
  <si>
    <t>Rio Margarida</t>
  </si>
  <si>
    <t>PCH MARMELOS</t>
  </si>
  <si>
    <t>Marmelos</t>
  </si>
  <si>
    <t>PCH MARTINS</t>
  </si>
  <si>
    <t>Martins</t>
  </si>
  <si>
    <t>UHE MASCARENHAS - ENERGEST</t>
  </si>
  <si>
    <t>Mascarenhas</t>
  </si>
  <si>
    <t>MATIPO</t>
  </si>
  <si>
    <t>Matipó</t>
  </si>
  <si>
    <t>MAURICIO</t>
  </si>
  <si>
    <t>Maurício</t>
  </si>
  <si>
    <t>RIO MAZUTTI</t>
  </si>
  <si>
    <t>Rio Mazutti</t>
  </si>
  <si>
    <t>MB</t>
  </si>
  <si>
    <t>Melissa</t>
  </si>
  <si>
    <t>Mello</t>
  </si>
  <si>
    <t>MIGUEL PEREIRA</t>
  </si>
  <si>
    <t>Miguel Pereira</t>
  </si>
  <si>
    <t>UHE MIRANDA</t>
  </si>
  <si>
    <t>Miranda</t>
  </si>
  <si>
    <t>Mogi-Guaçu</t>
  </si>
  <si>
    <t>MONJOLINHO</t>
  </si>
  <si>
    <t>Monjolinho</t>
  </si>
  <si>
    <t>PCH MONTE SERRAT</t>
  </si>
  <si>
    <t>Monte Serrat</t>
  </si>
  <si>
    <t>PCH MOURÃO I</t>
  </si>
  <si>
    <t>Mourão I</t>
  </si>
  <si>
    <t>Muniz Freire</t>
  </si>
  <si>
    <t>UTE NARDINI</t>
  </si>
  <si>
    <t>Nardini</t>
  </si>
  <si>
    <t>PCH NEBLINA</t>
  </si>
  <si>
    <t>Neblina</t>
  </si>
  <si>
    <t>UHE NILO PECANHA</t>
  </si>
  <si>
    <t>Nilo Peçanha</t>
  </si>
  <si>
    <t>Nova Jaguariaíva</t>
  </si>
  <si>
    <t>UHE NOVA AVANHANDAVA</t>
  </si>
  <si>
    <t>Nova Avanhandava (Rui Barbosa)</t>
  </si>
  <si>
    <t>UTE SANTA CRUZ - SP</t>
  </si>
  <si>
    <t>Santa Cruz AB (Antiga Ometto)</t>
  </si>
  <si>
    <t>PCH PACIÊNCIA</t>
  </si>
  <si>
    <t>Paciência</t>
  </si>
  <si>
    <t>PAES LEME</t>
  </si>
  <si>
    <t>Paes Leme</t>
  </si>
  <si>
    <t>PAI JOAQUIM</t>
  </si>
  <si>
    <t>Pai Joaquim</t>
  </si>
  <si>
    <t>Palmeiras</t>
  </si>
  <si>
    <t>PANDEIROS</t>
  </si>
  <si>
    <t>Pandeiros</t>
  </si>
  <si>
    <t>PCH PARACAMBI</t>
  </si>
  <si>
    <t>Paracambi</t>
  </si>
  <si>
    <t>UHE PARANAPANEMA</t>
  </si>
  <si>
    <t>Paranapanema</t>
  </si>
  <si>
    <t>Paranoá</t>
  </si>
  <si>
    <t>PARAÚNA</t>
  </si>
  <si>
    <t>Paraúna</t>
  </si>
  <si>
    <t>PARI</t>
  </si>
  <si>
    <t>Pari</t>
  </si>
  <si>
    <t>PCH PASSO DE AJURICABA</t>
  </si>
  <si>
    <t>PCH PASSO DO INFERNO</t>
  </si>
  <si>
    <t>Passo do Inferno</t>
  </si>
  <si>
    <t>Usina da Pedra</t>
  </si>
  <si>
    <t>Pedrinho I</t>
  </si>
  <si>
    <t>UHE MASCARENHAS DE MORAES (PEIX.)</t>
  </si>
  <si>
    <t>Marechal Mascarenhas de Moraes (Antiga Peixoto)</t>
  </si>
  <si>
    <t>UHE PEREIRA PASSOS</t>
  </si>
  <si>
    <t>Pereira Passos</t>
  </si>
  <si>
    <t>PCH PERY</t>
  </si>
  <si>
    <t>Pery</t>
  </si>
  <si>
    <t>Pesqueiro</t>
  </si>
  <si>
    <t>UHE PETI</t>
  </si>
  <si>
    <t>Peti</t>
  </si>
  <si>
    <t>PIABANHA</t>
  </si>
  <si>
    <t>Piabanha</t>
  </si>
  <si>
    <t>PCH PIAU</t>
  </si>
  <si>
    <t>Piau</t>
  </si>
  <si>
    <t>UHE PICADA</t>
  </si>
  <si>
    <t>Picada</t>
  </si>
  <si>
    <t>PICADA 48</t>
  </si>
  <si>
    <t>Picada 48</t>
  </si>
  <si>
    <t>PISSARRÃO</t>
  </si>
  <si>
    <t>Pissarrão</t>
  </si>
  <si>
    <t>PINHEIRINHO</t>
  </si>
  <si>
    <t>Pinheirinho</t>
  </si>
  <si>
    <t>PIPOCA</t>
  </si>
  <si>
    <t>Pipoca</t>
  </si>
  <si>
    <t>REDE ELÉTRICA PIQUETE - ITAJUBÁ - REPI</t>
  </si>
  <si>
    <t>Rede Elétrica Piquete - Itajubá - REPI</t>
  </si>
  <si>
    <t>Piraí</t>
  </si>
  <si>
    <t>UTE PIRATININGA</t>
  </si>
  <si>
    <t>Piratininga</t>
  </si>
  <si>
    <t>Pitangui</t>
  </si>
  <si>
    <t>POÇO FUNDO</t>
  </si>
  <si>
    <t>Poço Fundo</t>
  </si>
  <si>
    <t>PONTE DO SILVA (EXTINTA)</t>
  </si>
  <si>
    <t>Ponte do Silva (Extinta)</t>
  </si>
  <si>
    <t>POQUIM</t>
  </si>
  <si>
    <t>Poquim</t>
  </si>
  <si>
    <t>UHE PORTO COLOMBIA</t>
  </si>
  <si>
    <t>Porto Colômbia</t>
  </si>
  <si>
    <t>PCH PORTO GOÉS</t>
  </si>
  <si>
    <t>Porto Góes</t>
  </si>
  <si>
    <t>PCH ANGELINA</t>
  </si>
  <si>
    <t>Angelina (Ex-Portobello - Corredeira do Encano)</t>
  </si>
  <si>
    <t>Presidente Goulart</t>
  </si>
  <si>
    <t>Primavera</t>
  </si>
  <si>
    <t>UHE PROMISSAO</t>
  </si>
  <si>
    <t>Promissão (Mário Lopes Leão)</t>
  </si>
  <si>
    <t>QUATIARA</t>
  </si>
  <si>
    <t>Quatiara</t>
  </si>
  <si>
    <t>UHE QUEBRA QUEIXO</t>
  </si>
  <si>
    <t>Quebra Queixo</t>
  </si>
  <si>
    <t>SALTO DO PASSO VELHO</t>
  </si>
  <si>
    <t>Salto do Passo Velho</t>
  </si>
  <si>
    <t>UHE QUEIMADO</t>
  </si>
  <si>
    <t>Queimado</t>
  </si>
  <si>
    <t>PCH RASGÃO</t>
  </si>
  <si>
    <t>Rasgão</t>
  </si>
  <si>
    <t>REFAP</t>
  </si>
  <si>
    <t>Refinaria Presidente Getúlio Vargas (REPAR)</t>
  </si>
  <si>
    <t>REFINARIA HENRIQUE LAGES (REVAP)</t>
  </si>
  <si>
    <t>Refinaria Henrique Lages (REVAP)</t>
  </si>
  <si>
    <t>Refinaria Landulpho Alves (RLAM)</t>
  </si>
  <si>
    <t>LAGES</t>
  </si>
  <si>
    <t>Lages</t>
  </si>
  <si>
    <t>Ribeirão do Pinhal</t>
  </si>
  <si>
    <t>CORUMBÁ CONCESSÕES S/A</t>
  </si>
  <si>
    <t>CEC COMPANHIA ENERGÉTICA CHAPECÓ</t>
  </si>
  <si>
    <t>CPFL GERAÇÃO CPFL GERAÇÃO DE ENERGIA S/A</t>
  </si>
  <si>
    <t>TERMOPE TERMOPERNAMBUCO S/A</t>
  </si>
  <si>
    <t>Rio Bonito</t>
  </si>
  <si>
    <t>ELOI BRUNETTA ELOI BRUNETTA &amp; CIA  LTDA</t>
  </si>
  <si>
    <t>BAIXADA SANTISTA ENERGIA S.A.</t>
  </si>
  <si>
    <t>SFE SOCIEDADE FLUMINENSE DE ENERGIA LTDA</t>
  </si>
  <si>
    <t>ENERGEST ENERGEST S/A</t>
  </si>
  <si>
    <t>LAGINHA AGRO INDUSTRIAL S/A</t>
  </si>
  <si>
    <t>USINA CAETÉ S/A</t>
  </si>
  <si>
    <t>RIO DAS PEDRAS</t>
  </si>
  <si>
    <t>Rio das Pedras</t>
  </si>
  <si>
    <t>RIO DE PEDRAS</t>
  </si>
  <si>
    <t>Rio de Pedras</t>
  </si>
  <si>
    <t>PESQUEIRO PESQUEIRO ENERGIA S/A</t>
  </si>
  <si>
    <t>COPREL</t>
  </si>
  <si>
    <t>COPREL COPREL COOPERATIVA DE ENERGIA</t>
  </si>
  <si>
    <t>USINA CERRADINHO AÇÚCAR E ÁLCOOL S/A</t>
  </si>
  <si>
    <t>PCH RIO DOS PATOS</t>
  </si>
  <si>
    <t>Rio dos Patos</t>
  </si>
  <si>
    <t>PIONEIROS BIOENERGIA S/A</t>
  </si>
  <si>
    <t>CERMISSÕES COOPERATIVA DE DISTRIBUIÇÃO E GERAÇÃO DE ENERGIA DAS MISSÕES LTDA.</t>
  </si>
  <si>
    <t>TANGARÁ TANGARÁ ENERGIA S/A</t>
  </si>
  <si>
    <t>FERRARI TERMOELÉTRICA S.A.</t>
  </si>
  <si>
    <t>Derivação do Rio Jordão</t>
  </si>
  <si>
    <t>ENERTRADE - COMERCIALIZADORA DE ENERGIA S/A</t>
  </si>
  <si>
    <t>Rio Novo</t>
  </si>
  <si>
    <t>CERAN  COMPANHIA ENERGÉTICA RIO DAS ANTAS</t>
  </si>
  <si>
    <t>USAÇÚCAR USINA DE AÇÚCAR SANTA TEREZINHA LTDA.</t>
  </si>
  <si>
    <t>COSAN S/A INDÚSTRIA E COMÉRCIO</t>
  </si>
  <si>
    <t>AMANARY AMANARY ELETRICIDADE LTDA</t>
  </si>
  <si>
    <t>DEMEEP</t>
  </si>
  <si>
    <t>DEMEEP PREFEITURA MUNICIPAL DE PUTINGA</t>
  </si>
  <si>
    <t>Rio Tigre</t>
  </si>
  <si>
    <t>RIPASA</t>
  </si>
  <si>
    <t>Ripasa</t>
  </si>
  <si>
    <t>ROÇA GRANDE</t>
  </si>
  <si>
    <t>Roça Grande</t>
  </si>
  <si>
    <t>PCH ROCHEDO</t>
  </si>
  <si>
    <t>Rochedo</t>
  </si>
  <si>
    <t>PCH RONDON</t>
  </si>
  <si>
    <t>Rondon</t>
  </si>
  <si>
    <t>Rosal</t>
  </si>
  <si>
    <t>UHE ROSANA</t>
  </si>
  <si>
    <t>Rosana</t>
  </si>
  <si>
    <t>INTERCEMENT BRASIL S.A</t>
  </si>
  <si>
    <t>CMM COMPANHIA MINEIRA DE METAIS</t>
  </si>
  <si>
    <t>Salesópolis</t>
  </si>
  <si>
    <t>Saltinho</t>
  </si>
  <si>
    <t>Salto Belo</t>
  </si>
  <si>
    <t>TSN TRANSMISSORA SUDESTE NORDESTE S/A</t>
  </si>
  <si>
    <t>SAJESA SALTO JAURU ENERGÉTICA S/A</t>
  </si>
  <si>
    <t>FAFEN  ENERGIA S/A</t>
  </si>
  <si>
    <t>Salto do Vau</t>
  </si>
  <si>
    <t>UHE SALTO GRANDE (LN GARCEZ-GP)</t>
  </si>
  <si>
    <t>Salto Grande (Lucas Nogueira Garcez)</t>
  </si>
  <si>
    <t xml:space="preserve"> JALLES MACHADO S/A</t>
  </si>
  <si>
    <t>SALTO MORAIS</t>
  </si>
  <si>
    <t>Salto Morais</t>
  </si>
  <si>
    <t>Salto Pintado</t>
  </si>
  <si>
    <t>PCH SALTO WEISSBACH</t>
  </si>
  <si>
    <t>Salto (Salto Weissbach)</t>
  </si>
  <si>
    <t>Salvador</t>
  </si>
  <si>
    <t>SANTA ALICE</t>
  </si>
  <si>
    <t>Santa Alice</t>
  </si>
  <si>
    <t>UHE SANTA BRANCA</t>
  </si>
  <si>
    <t>Santa Branca</t>
  </si>
  <si>
    <t>UHE SANTA CLARA - MG</t>
  </si>
  <si>
    <t>Santa Clara</t>
  </si>
  <si>
    <t>RAÍZEN TARUMÃ S.A.</t>
  </si>
  <si>
    <t>USINA UNIÃO E INDÚSTRIA S/A</t>
  </si>
  <si>
    <t>GOIASA GOIATUBA ÁLCOOL LTDA</t>
  </si>
  <si>
    <t>TRAPICHE USINA TRAPICHE S/A</t>
  </si>
  <si>
    <t>TERMOAÇU S/A</t>
  </si>
  <si>
    <t>UTEJF USINA TERMELÉTRICA JUIZ DE FORA S/A</t>
  </si>
  <si>
    <t>PCH SINCERIDADE</t>
  </si>
  <si>
    <t>Sinceridade</t>
  </si>
  <si>
    <t>Sítio Grande</t>
  </si>
  <si>
    <t>Sobrado</t>
  </si>
  <si>
    <t>UHE SOBRAGI</t>
  </si>
  <si>
    <t>Sobragi</t>
  </si>
  <si>
    <t>Socorro</t>
  </si>
  <si>
    <t>CERILUZ COOPERATIVA REGIONAL DE ENERGIA E DESENVOLVIMENTO IJUÍ LTDA</t>
  </si>
  <si>
    <t>PCH SUICA</t>
  </si>
  <si>
    <t>Suíça</t>
  </si>
  <si>
    <t>SUMIDOURO</t>
  </si>
  <si>
    <t>Sumidouro</t>
  </si>
  <si>
    <t>CRERAL  COOPERATIVA REGIONAL DE ELETRIFICAÇÃO RURAL DO ALTO URUGUAI</t>
  </si>
  <si>
    <t>UTE SUZANO</t>
  </si>
  <si>
    <t>Suzano</t>
  </si>
  <si>
    <t>Taguatinga</t>
  </si>
  <si>
    <t>ECOENERGIA GERAÇÃO TERMELÉTRICA LTDA</t>
  </si>
  <si>
    <t>CLEALCO AÇÚCAR E ÁLCOOL LTDA</t>
  </si>
  <si>
    <t>Braço Norte II</t>
  </si>
  <si>
    <t>USINAS ITAMARATI S/A</t>
  </si>
  <si>
    <t>Toca</t>
  </si>
  <si>
    <t>TOMBOS</t>
  </si>
  <si>
    <t>Tombos</t>
  </si>
  <si>
    <t>COCAL COCAL TERMOELÉTRICA S/A</t>
  </si>
  <si>
    <t>São Domingos (Torixoréo)</t>
  </si>
  <si>
    <t>COPEL-GER COPEL GERAÇÃO S/A</t>
  </si>
  <si>
    <t>AÇUCAREIRA QUATÁ S/A</t>
  </si>
  <si>
    <t>Três Saltos</t>
  </si>
  <si>
    <t>PCH TRONQUEIRAS</t>
  </si>
  <si>
    <t>Tronqueiras</t>
  </si>
  <si>
    <t>CEMIG CAPIM BRANCO ENERGIA S/A</t>
  </si>
  <si>
    <t>COMERCIAL E AGRÍCOLA PAINEIRAS LTDA</t>
  </si>
  <si>
    <t>TURVINHO (NOVA DO BAIXO TURVINHO)</t>
  </si>
  <si>
    <t>Turvinho (Nova do Baixo Turvinho)</t>
  </si>
  <si>
    <t>TERMOCABO LTDA</t>
  </si>
  <si>
    <t>UTE RAFARD</t>
  </si>
  <si>
    <t>Rafard</t>
  </si>
  <si>
    <t>AMPER AMPER ENERGIA S.A.</t>
  </si>
  <si>
    <t>BASF BASF S/A</t>
  </si>
  <si>
    <t>NOBRECEL S/A CELULOSE E PAPEL</t>
  </si>
  <si>
    <t>BIOENERGIA COGERADORA S/A</t>
  </si>
  <si>
    <t>CGTF CENTRAL GERADORA TERMELÉTRICA FORTALEZA S/A</t>
  </si>
  <si>
    <t>TERMOCEARÁ LTDA</t>
  </si>
  <si>
    <t>EQUIPAV S/A AÇÚCAR E ÁLCOOL</t>
  </si>
  <si>
    <t>EUCATEX S/A INDÚSTRIA E COMÉRCIO</t>
  </si>
  <si>
    <t>USINA ALTO ALEGRE S/A AÇÚCAR E ÁLCOOL</t>
  </si>
  <si>
    <t>ELEJOR CENTRAIS ELÉTRICAS DO RIO JORDÃO S/A</t>
  </si>
  <si>
    <t>CORUMBÁ III ENERGÉTICA CORUMBÁ III S/A</t>
  </si>
  <si>
    <t>FOZ DO CHAPECÓ ENERGIA S/A</t>
  </si>
  <si>
    <t>VOTORANTIM CIMENTOS S.A.</t>
  </si>
  <si>
    <t>ENERPEIXE S/A</t>
  </si>
  <si>
    <t>UTE VALE DO ROSARIO</t>
  </si>
  <si>
    <t>Vale do Rosário</t>
  </si>
  <si>
    <t xml:space="preserve"> SANTA CRUZ POWER CORPORATION USINAS HIDROELÉTRICAS S/A</t>
  </si>
  <si>
    <t>GIASA S/A</t>
  </si>
  <si>
    <t>IBIRITERMO S/A</t>
  </si>
  <si>
    <t>JB AÇÚCAR E ÁLCOOL LTDA</t>
  </si>
  <si>
    <t>CAETÉ EMPREENDIMENTOS ENERGÉTICO LTDA</t>
  </si>
  <si>
    <t>MAGGI ENERGIA S/A</t>
  </si>
  <si>
    <t>ENERBRASIL ENERGIAS RENOVÁVEIS DO BRASIL S.A.</t>
  </si>
  <si>
    <t>OMBREIRAS ENERGÉTICA S/A</t>
  </si>
  <si>
    <t>NEW ENERGY OPTIONS GERAÇÃO DE ENERGIA S/A</t>
  </si>
  <si>
    <t>CEVASA CENTRAL ENERGÉTICA VALE DO SAPUCAÍ</t>
  </si>
  <si>
    <t>AGRO INDUSTRIAL VISTA ALEGRE LTDA</t>
  </si>
  <si>
    <t>Vila do Cantá</t>
  </si>
  <si>
    <t>Vila Dona Cota</t>
  </si>
  <si>
    <t>Vila de Extrema</t>
  </si>
  <si>
    <t>Vila Floresta</t>
  </si>
  <si>
    <t>CORURIPE ENERGÉTICA S/A</t>
  </si>
  <si>
    <t>TERMO GCS LTDA</t>
  </si>
  <si>
    <t>SIMASA SIDERÚRGICA DO MARANHÃO S/A</t>
  </si>
  <si>
    <t>VILA SÃO JOSÉ</t>
  </si>
  <si>
    <t>Vila São José</t>
  </si>
  <si>
    <t>MADEIREIRA RICKLI LTDA</t>
  </si>
  <si>
    <t>ESPORA ESPORA ENERGÉTICA S/A</t>
  </si>
  <si>
    <t>BRASYMPE ENERGIA S/A</t>
  </si>
  <si>
    <t>UTE VIRALCOOL</t>
  </si>
  <si>
    <t>Viralcool</t>
  </si>
  <si>
    <t>COMOSA CONCESSIONÁRIA MOSQUITÃO S/A</t>
  </si>
  <si>
    <t>TERMO ELÉTRICA ITAENGA LTDA</t>
  </si>
  <si>
    <t>ENGUIA GEN CE LTDA</t>
  </si>
  <si>
    <t>ENGUIA GEN PI LTDA</t>
  </si>
  <si>
    <t>ENGUIA GEN BA LTDA</t>
  </si>
  <si>
    <t>USGA USINA SERRA GRANDE S/A</t>
  </si>
  <si>
    <t>CGE CEARÁ GERADORA DE ENERGIA S/A</t>
  </si>
  <si>
    <t>SALTO VOLTÃO</t>
  </si>
  <si>
    <t>Salto Voltão</t>
  </si>
  <si>
    <t>WBP/Sigame - verificar</t>
  </si>
  <si>
    <t>CESS COMPANHIA ENERGÉTICA SÃO SALVADOR</t>
  </si>
  <si>
    <t>COMPANHIA ENERGÉTICA DE PETROLINA</t>
  </si>
  <si>
    <t>XICÃO</t>
  </si>
  <si>
    <t>Xicão</t>
  </si>
  <si>
    <t>NUTRICEL NUTRIENTES LTDA</t>
  </si>
  <si>
    <t>CUMMINS BRASIL LTDA</t>
  </si>
  <si>
    <t>VALE VERDE EMPREENDIMENTOS AGRÍCOLAS LTDA</t>
  </si>
  <si>
    <t>HEIDRICH GERAÇÃO ELÉTRICA LTDA</t>
  </si>
  <si>
    <t>UTE BAHIA I CAMAÇARI LTDA</t>
  </si>
  <si>
    <t>ENGEBRA EMPRESA DE ENERGIA DO BRASIL LTDA</t>
  </si>
  <si>
    <t>GEBRA BRASILEIRA GERADORA DE ENERGIA LTDA</t>
  </si>
  <si>
    <t>CERTAJA  COOPERATIVA REGIONAL DE ENERGIA TAQUARI JACUI</t>
  </si>
  <si>
    <t>USINA AÇUCAREIRA SANTA CRUZ S/A</t>
  </si>
  <si>
    <t>USINA SANTA ADÉLIA S/A</t>
  </si>
  <si>
    <t>PCH CONRADO HEITOR DE QUEIROZ / KAMAMU LTDA ME</t>
  </si>
  <si>
    <t>PARNAMIRIM ENERGIA S/A</t>
  </si>
  <si>
    <t>NORDESTE GENERATION LTDA</t>
  </si>
  <si>
    <t>HORIZONTES ENERGIA S/A</t>
  </si>
  <si>
    <t>TEP TERMOELÉTRICA POTIGUAR S/A</t>
  </si>
  <si>
    <t xml:space="preserve"> ARUANÃ ENERGIA S/A</t>
  </si>
  <si>
    <t>USINA ESTIVAS S/A</t>
  </si>
  <si>
    <t>CERPA CENTRAL ENERGÉTICA RIO PARDO S.A</t>
  </si>
  <si>
    <t>HACKER INDUSTRIAL LTDA</t>
  </si>
  <si>
    <t>CENAEEL CENTRAL NACIONAL DE ENERGIA EÓLICA LTDA</t>
  </si>
  <si>
    <t>PETROBRÁS COMERCIALIZADORA DE ENERGIA LTDA</t>
  </si>
  <si>
    <t>CENTRAL ENERGÉTICA JITITUBA LTDA</t>
  </si>
  <si>
    <t>AGROVALE AGRO INDÚSTRIAS DO VALE DO SÃO FRANCISCO S/A</t>
  </si>
  <si>
    <t>USINA IPOJUCA S/A</t>
  </si>
  <si>
    <t>USINA HIDRELÉTRICA RIO GRANDE LTDA</t>
  </si>
  <si>
    <t>SADIA S/A</t>
  </si>
  <si>
    <t>UNA AÇÚCAR E ENERGIA LTDA</t>
  </si>
  <si>
    <t>JAGUARI ENERGÉTICA S/A</t>
  </si>
  <si>
    <t>CENTRAL ENERGÉTICA VALE DO JEQUIÁ LTDA</t>
  </si>
  <si>
    <t>COOPERLUZ COOPERATIVA DISTRIBUIDORA DE ENERGIA FRONTEIRA NOROESTE</t>
  </si>
  <si>
    <t>LAGES BIOENERGÉTICA LTDA</t>
  </si>
  <si>
    <t>NOVO MUNDO ENERGÉTICA S/A</t>
  </si>
  <si>
    <t>RIO VERDE ENERGIA S.A.</t>
  </si>
  <si>
    <t>RIO VERDINHO ENERGIA S/A</t>
  </si>
  <si>
    <t>CIMENTO ITAMBÉ CIA DE CIMENTO ITAMBÉ</t>
  </si>
  <si>
    <t>CURUÁ ENERGIA S/A</t>
  </si>
  <si>
    <t>CRISTALINO ENERGIA LTDA</t>
  </si>
  <si>
    <t>GALVANI INDÚSTRIA COMÉRCIO E SERVIÇOS S/A</t>
  </si>
  <si>
    <t>GERDAU S/A</t>
  </si>
  <si>
    <t>BAESA ENERGÉTICA BARRA GRANDE S/A</t>
  </si>
  <si>
    <t>PARANATINGA ENERGIA S/A</t>
  </si>
  <si>
    <t>STE SÃO TADEU ENERGÉTICA S/A</t>
  </si>
  <si>
    <t xml:space="preserve"> RIO CORRENTE S/A</t>
  </si>
  <si>
    <t>HIDRELÉTRICA ROSSI LTDA</t>
  </si>
  <si>
    <t>GERAOESTE USINAS ELÉTRICAS DO OESTE S/A</t>
  </si>
  <si>
    <t>LUDESA LUDESA ENERGÉTICA S/A</t>
  </si>
  <si>
    <t>HIDROPOWER ENERGIA S/A</t>
  </si>
  <si>
    <t>BURITI ENERGIA S/A</t>
  </si>
  <si>
    <t>TUPAN ENERGIA ELÉTRICA LTDA</t>
  </si>
  <si>
    <t>COOPERATIVA DE ELETRIFICAÇÃO E DESENVOLVIMENTO RURAL DO VALE DO ARAÇÁ</t>
  </si>
  <si>
    <t>PITANGUEIRAS AÇÚCAR E ÁLCOOL LTDA</t>
  </si>
  <si>
    <t>CPFL CENTRAIS ELÉTRICAS S/A</t>
  </si>
  <si>
    <t>CAM CONSULTORIA AGROPECUÁRIA MAGRIN LTDA</t>
  </si>
  <si>
    <t>CERSAD GERADORA COOPERATIVA DE GERAÇÃO DE ENERGIA ELÉTRICA SALTO DONNER</t>
  </si>
  <si>
    <t>IMP IMPORTACAO ANDE</t>
  </si>
  <si>
    <t>Importação ANDE</t>
  </si>
  <si>
    <t>CENTRAL HIDRELÉTRICA PAI JOAQUIM S/A</t>
  </si>
  <si>
    <t>CHAMPION ELETRICIDADE LTDA</t>
  </si>
  <si>
    <t>COCAL COMÉRCIO INDÚSTRIA CANAÃ AÇÚCAR E ÁLCOOL LTDA</t>
  </si>
  <si>
    <t>VICUNHA TEXTIL S/A</t>
  </si>
  <si>
    <t>CERAL DIS COOPERATIVA DE DISTRIBUIÇÃO DE ENERGIA ELÉTRICA DE ARAPOTI</t>
  </si>
  <si>
    <t>QUEIROZ GALVÃO S/A</t>
  </si>
  <si>
    <t>AÇÚCAR E ÁLCOOL OSWALDO RIBEIRO DE MENDONÇA LTDA</t>
  </si>
  <si>
    <t>EBISA EMPREENDIMENTOS ENERGÉTICOS BINACIONALES SOCIEDAD ANÔNIMA</t>
  </si>
  <si>
    <t>KLABIN S/A</t>
  </si>
  <si>
    <t>COMPANHIA ENERGÉTICA SALTO DO LOBO LTDA</t>
  </si>
  <si>
    <t>ALUNORTE ALUMINA DO NORTE DO BRASIL S/A</t>
  </si>
  <si>
    <t>FPHESP FUNDAÇÃO PATRIMÔNIO HISTÓRICO DA ENERGIA DE SÃO PAULO</t>
  </si>
  <si>
    <t>EÓLICA FORMOSA GERAÇÃO E COMERCIALIZAÇÃO DE ENERGIA S.A.</t>
  </si>
  <si>
    <t>EMPRESA ENERGÉTICA SANTA TERESA LTDA</t>
  </si>
  <si>
    <t>AES MINAS PCH LTDA</t>
  </si>
  <si>
    <t>EÓLICA ICARAIZINHO GERAÇÃO E COMERCIALIZAÇÃO DE ENERGIA S.A.</t>
  </si>
  <si>
    <t>ALBRAS ALUMÍNIO BRASILEIRO S/A</t>
  </si>
  <si>
    <t>COMPANHIA ENERGÉTICA SÃO JOSÉ</t>
  </si>
  <si>
    <t>EEPP EMPRESA ENERGÉTICA PORTO DAS PEDRAS S.A.</t>
  </si>
  <si>
    <t>CENTRAIS HIDRELÉTRICAS GRAPON S/A</t>
  </si>
  <si>
    <t>VERACEL CELULOSE S/A</t>
  </si>
  <si>
    <t xml:space="preserve"> RIALMA COMPANHIA ENERGÉTICA II S/A</t>
  </si>
  <si>
    <t>UNIBANCO UNIÃO DE BANCOS BRASILEIROS S.A.</t>
  </si>
  <si>
    <t>ANGLOGOLD ASHANTI MINERAÇÃO LTDA</t>
  </si>
  <si>
    <t>VENTOS DO SUL ENERGIA S/A</t>
  </si>
  <si>
    <t>RIO DO SANGUE ENERGIA S/A</t>
  </si>
  <si>
    <t>CARDUS ENERGIA LTDA.</t>
  </si>
  <si>
    <t>CEDIN DO BRASIL LTDA</t>
  </si>
  <si>
    <t>OPM OPM EMPREENDIMENTOS S/A</t>
  </si>
  <si>
    <t>HIDRELÉTRICA RONCADOR LTDA</t>
  </si>
  <si>
    <t>BOA SORTE</t>
  </si>
  <si>
    <t>BOA SORTE ENERGÉTICA S/A</t>
  </si>
  <si>
    <t>RIACHO PRETO - TO</t>
  </si>
  <si>
    <t>RIACHO PRETO ENERGÉTICA S/A</t>
  </si>
  <si>
    <t>LAGOA GRANDE - TO</t>
  </si>
  <si>
    <t>LAGOA GRANDE ENERGÉTICA S/A</t>
  </si>
  <si>
    <t>GEEA GERADORA DE ENERGIA ELÉTRICA ALEGRETE LTDA</t>
  </si>
  <si>
    <t>PORTO FRANCO - TO</t>
  </si>
  <si>
    <t>PORTO FRANCO ENERGÉTICA S/A</t>
  </si>
  <si>
    <t>USACIGA AÇUCAR ÁLCOOL E ENERGIA ELÉTRICA LTDA</t>
  </si>
  <si>
    <t>PAMESA DO BRASIL S/A</t>
  </si>
  <si>
    <t>USINA PAINEIRAS S/A</t>
  </si>
  <si>
    <t>TERMELÉTRICA SÃO JOSÉ S/A</t>
  </si>
  <si>
    <t>USINA TERMOELÉTRICA WINIMPORT S/A</t>
  </si>
  <si>
    <t>COCAMAR COOPERATIVA AGROINDUSTRIAL</t>
  </si>
  <si>
    <t>AQUARIUS ENERGÉTICA S/A</t>
  </si>
  <si>
    <t>ESPRA ENERGÉTICA SERRA DA PRATA S/A</t>
  </si>
  <si>
    <t>ÔNIX GERAÇÃO DE ENERGIA S/A</t>
  </si>
  <si>
    <t>CEMIG-GT  CEMIG GERAÇÃO E TRANSMISSÃO S/A</t>
  </si>
  <si>
    <t>USINA TERMO ELÉTRICA IOLANDO LEITE LTDA</t>
  </si>
  <si>
    <t>POUSO ALTO ENERGIA S/A</t>
  </si>
  <si>
    <t xml:space="preserve"> JATAÍ ENERGÉTICA S/A</t>
  </si>
  <si>
    <t>SANTA CRUZ S/A AÇÚCAR E ÁLCOOL</t>
  </si>
  <si>
    <t>RETIRO VELHO ENERGÉTICA S/A</t>
  </si>
  <si>
    <t>SANTA FÉ ENERGÉTICA S/A</t>
  </si>
  <si>
    <t xml:space="preserve"> IRARA ENERGÉTICA S/A</t>
  </si>
  <si>
    <t>MONTE SERRAT ENERGÉTICA S/A</t>
  </si>
  <si>
    <t>BONFANTE ENERGÉTICA S/A</t>
  </si>
  <si>
    <t>DA ILHA ENERGÉTICA S/A</t>
  </si>
  <si>
    <t>VENETO ENERGÉTICA S/A</t>
  </si>
  <si>
    <t>CENTRAL EÓLICA VOLTA DO RIO S/A</t>
  </si>
  <si>
    <t>CAPARAÓ ENERGIA S/A</t>
  </si>
  <si>
    <t>SÃO SIMÃO ENERGIA S/A</t>
  </si>
  <si>
    <t>BELGO SIDERURGIA S/A</t>
  </si>
  <si>
    <t>SÃO JOAQUIM ENERGIA S/A</t>
  </si>
  <si>
    <t>CENTRAL EÓLICA PRAIA DO MORGADO S/A</t>
  </si>
  <si>
    <t>USINA VERTENTE LTDA</t>
  </si>
  <si>
    <t>ALCAN ALUMÍNIO DO BRASIL LTDA</t>
  </si>
  <si>
    <t>CEESAM GERADORA S/A</t>
  </si>
  <si>
    <t>ESMERALDA S/A</t>
  </si>
  <si>
    <t>SÃO PEDRO ENERGIA S/A</t>
  </si>
  <si>
    <t>SANTA LAURA S/A</t>
  </si>
  <si>
    <t>SPE PLANO ALTO ENERGIA S/A</t>
  </si>
  <si>
    <t>SPE ALTO IRANI ENERGIA S/A</t>
  </si>
  <si>
    <t>CEB GERAÇÃO S/A</t>
  </si>
  <si>
    <t>LIGHT LIGHT ENERGIA S/A</t>
  </si>
  <si>
    <t>AFLUENTE AFLUENTE GERAÇÃO DE ENERGIA ELÉTRICA S/A</t>
  </si>
  <si>
    <t>CEBPAR CEB PARTICIPAÇÕES S/A</t>
  </si>
  <si>
    <t>PANTANAL ENERGÉTICA LTDA</t>
  </si>
  <si>
    <t>VALE ENERGÉTICA S/A</t>
  </si>
  <si>
    <t>QUATIARA ENERGIA S/A</t>
  </si>
  <si>
    <t>ISAMU IKEDA ENERGIA S/A</t>
  </si>
  <si>
    <t>SOCIBE ENERGIA S/A</t>
  </si>
  <si>
    <t>ALVORADA ENERGIA S/A</t>
  </si>
  <si>
    <t>BRAÇO NORTE ENERGIA S/A</t>
  </si>
  <si>
    <t>APIACÁS ENERGIA S/A</t>
  </si>
  <si>
    <t>PRIMAVERA ENERGIA S/A</t>
  </si>
  <si>
    <t>JURUENA ENERGIA S/A</t>
  </si>
  <si>
    <t>CUIABÁ ENERGIA S/A</t>
  </si>
  <si>
    <t>VP ENERGIA S/A</t>
  </si>
  <si>
    <t>PCA PECUÁRIA COMÉRCIO E AGRICULTURA LTDA</t>
  </si>
  <si>
    <t>CAMPO NOVO ENERGIA S/A</t>
  </si>
  <si>
    <t>CPFL SUL CENTRAIS ELÉTRICAS LTDA</t>
  </si>
  <si>
    <t>INDUSTRIAL E AGRÍCOLA RIO VERDE LTDA</t>
  </si>
  <si>
    <t>TAIRETÁ ELETRICIDADE LTDA</t>
  </si>
  <si>
    <t>ELETRICIDADE SÃO PEDRO LTDA</t>
  </si>
  <si>
    <t>CLFSC-GER SANTA CRUZ GERAÇÃO DE ENERGIA S/A</t>
  </si>
  <si>
    <t>ELEKTRO-GER ELEKTRO GERAÇÃO S/A</t>
  </si>
  <si>
    <t>CERES COOPERATIVA DE ELETRIFICAÇÃO RURAL DE RESENDE LTDA</t>
  </si>
  <si>
    <t>CERAL ANITÁPOLIS  COOPERATIVA DE DISTRIBUIÇÃO DE ENERGIA ELÉTRICA DE ANITÁPOLIS</t>
  </si>
  <si>
    <t>CEREJ COOPERATIVA DE PRESTAÇÃO DE SERVIÇOS PÚBLICOS DE DISTRIBUIÇÃO DE ENERGIA ELÉTRICA SENADOR ESTEVES JÚNIOR</t>
  </si>
  <si>
    <t>CERGAL COOPERATIVA DE ELETRIFICAÇÃO  ANITA GARIBALDI LTDA</t>
  </si>
  <si>
    <t>CERGAPA COOPERATIVA DE ELETRICIDADE GRÃO PARÁ</t>
  </si>
  <si>
    <t>CERGRAL COOPERATIVA DE ELETRICIDADE DE GRAVATAL</t>
  </si>
  <si>
    <t>CERMOFUL COOPERATIVA FUMACENSE DE ELETRICIDADE</t>
  </si>
  <si>
    <t>CERPALO COOPERATIVA DE ELETRICIDADE DE PAULO LOPES</t>
  </si>
  <si>
    <t>CEDRI COOPERATIVA DE ENERGIZAÇÃO E DESENVOLVIMENTO RURAL DO VALE DO ITARIRI</t>
  </si>
  <si>
    <t>CEPRAG COOPERATIVA DE ELETRICIDADE PRAIA GRANDE</t>
  </si>
  <si>
    <t>CERSUL COOPERATIVA DE ELETRIFICAÇÃO SUL CATARINENSE</t>
  </si>
  <si>
    <t>CERTREL COOPERATIVA DE ENERGIA TREVISO</t>
  </si>
  <si>
    <t>COOPERA COOPERATIVA PIONEIRA DE ELETRIFICAÇÃO</t>
  </si>
  <si>
    <t>COOPERCOCAL COOPERATIVA ENERGÉTICA COCAL</t>
  </si>
  <si>
    <t>COOPERMILA COOPERATIVA DE ELETRIFICAÇÃO LAURO MULLER</t>
  </si>
  <si>
    <t>COOPERATIVA REGIONAL SUL DE ELETRIFICAÇÃO RURAL</t>
  </si>
  <si>
    <t>CERCOS COOPERATIVA DE ELETRIFICAÇÃO E DESENVOLVIMENTO RURAL CENTRO SUL DE SERGIPE LTDA</t>
  </si>
  <si>
    <t>CERIPA COOPERATIVA DE ELETRIFICAÇÃO RURAL DE ITAÍ-PARANAPANEMA-AVARÉ</t>
  </si>
  <si>
    <t>CETRIL COOPERATIVA DE ELETRIFICAÇÃO E TELEFONIA RURAIS DE IBIÚNA LTDA</t>
  </si>
  <si>
    <t>CEDRAP COOPERATIVA DE ELETRIFICAÇÃO E DESENVOLVIMENTO RURAL DO ALTO PARAÍBA LTDA</t>
  </si>
  <si>
    <t>CERIS COOPERATIVA DE ELETRIFICAÇÃO RURAL DA REGIÃO DE ITAPECERICA DA SERRA</t>
  </si>
  <si>
    <t>CERPRO COOPERATIVA DE ELETRIFICAÇÃO RURAL DA REGIÃO DE PROMISSÃO LTDA</t>
  </si>
  <si>
    <t>CERRP</t>
  </si>
  <si>
    <t>CERRP  COOPERATIVA DE ELETRIFICAÇÃO RURAL DA REGIÃO DE SÃO JOSÉ DO RIO PRETO LTDA</t>
  </si>
  <si>
    <t>CERIM COOPERATIVA DE ELETRIFICAÇÃO RURAL ITU-MAIRINQUE</t>
  </si>
  <si>
    <t>SPE MILLENNIUM CENTRAL GERADORA EÓLICA S/A</t>
  </si>
  <si>
    <t>PAMPEANA ENERGÉTICA S.A.</t>
  </si>
  <si>
    <t>BRASIL CENTRAL ENERGIA LTDA</t>
  </si>
  <si>
    <t>SÃO JOÃO ENERGIA AMBIENTAL S/A</t>
  </si>
  <si>
    <t>CONTESTADO ENERGÉTICA S/A</t>
  </si>
  <si>
    <t>CORONEL ARAÚJO ENERGÉTICA S/A</t>
  </si>
  <si>
    <t>USINA SANTA ISABEL S.A.</t>
  </si>
  <si>
    <t>QUANTA GERAÇÃO S/A</t>
  </si>
  <si>
    <t>BRASCAN ENERGÉTICA MINAS GERAIS S.A.</t>
  </si>
  <si>
    <t>GERDAU AÇOS LONGOS S/A</t>
  </si>
  <si>
    <t>MIRAMAR EMPREENDIMENTOS IMOBILIÁRIOS LDTA</t>
  </si>
  <si>
    <t>ENERGÉTICA PONTE ALTA S/A</t>
  </si>
  <si>
    <t>BRENTECH ENERGIA S/A</t>
  </si>
  <si>
    <t>ANGLOGOLD ASHANTI BRASIL MINERAÇÃO LTDA.</t>
  </si>
  <si>
    <t>OURO ENERGÉTICA S/A</t>
  </si>
  <si>
    <t>VOTORANTIM METAIS ZINCO S/A</t>
  </si>
  <si>
    <t>ELETRICIDADE PARAENSE LTDA</t>
  </si>
  <si>
    <t>CENTRAL ENERGÉTICA RIBEIRÃO PRETO, AÇÚCAR E ÁLCOOL LTDA</t>
  </si>
  <si>
    <t>USINA PAULISTA LAVRINHAS DE ENERGIA S/A</t>
  </si>
  <si>
    <t>CELESC-GER CELESC GERAÇÃO S.A.</t>
  </si>
  <si>
    <t>VALE DOS VENTOS GERADORA EÓLICA S.A</t>
  </si>
  <si>
    <t>CIMESA</t>
  </si>
  <si>
    <t>VOTORANTIM CIMENTOS N/NE S/A</t>
  </si>
  <si>
    <t>PLANALTO ENERGÉTICA LTDA</t>
  </si>
  <si>
    <t>CEEE-GT COMPANHIA ESTADUAL DE GERAÇÃO E TRANSMISSÃO DE ENERGIA ELÉTRICA</t>
  </si>
  <si>
    <t>RIACHÃO RIACHÃO ENERGÉTICA S.A.</t>
  </si>
  <si>
    <t>ENERGÉTICA CAMAÇARI MURICY I S.A</t>
  </si>
  <si>
    <t>AREMBEPE ENERGIA S.A.</t>
  </si>
  <si>
    <t>TERMOMANAUS LTDA.</t>
  </si>
  <si>
    <t>ENERGÉTICA SAUDADES S/A</t>
  </si>
  <si>
    <t>FOZ DO RIO CLARO ENERGIA S.A.</t>
  </si>
  <si>
    <t>RHODIA - POLIAMIDA E ESPECIALIDADES LTDA</t>
  </si>
  <si>
    <t xml:space="preserve"> GOIÁS SUL GERAÇÃO DE ENERGIA S.A.</t>
  </si>
  <si>
    <t>CPFL GERAÇÃO CPFL GERAÇÃO DE ENERGIA S.A.</t>
  </si>
  <si>
    <t>CERT CENTRAIS ELÉTRICAS RIO TIGRE S.A.</t>
  </si>
  <si>
    <t>RIO MANHUAÇU ENERGÉTICA S.A.</t>
  </si>
  <si>
    <t>RIO GLÓRIA ENERGÉTICA S.A.</t>
  </si>
  <si>
    <t>RIO POMBA ENERGÉTICA S.A.</t>
  </si>
  <si>
    <t>HIDRELÉTRICA CACHOEIRÃO S.A.</t>
  </si>
  <si>
    <t>BIANCOGRÊS CERÂMICA S/A</t>
  </si>
  <si>
    <t>ARCELOR BRASIL S.A.</t>
  </si>
  <si>
    <t>BAGUARI I GERAÇÃO DE ENERGIA ELÉTRICA S/A</t>
  </si>
  <si>
    <t>THYSSENKRUPP CSA SIDERÚRGICA DO ATLÂNTICO LTDA.</t>
  </si>
  <si>
    <t>WASSER KRAFT GERAÇÃO DE ENERGIA ELÉTRICA LTDA.</t>
  </si>
  <si>
    <t>CENTRAL ELÉTRICA ANHANGUERA S/A</t>
  </si>
  <si>
    <t xml:space="preserve"> CONSÓRCIO SERRA NEGRA ENERGÉTICA</t>
  </si>
  <si>
    <t>HIDRELÉTRICA DETOFOL LTDA.</t>
  </si>
  <si>
    <t>COTEMINAS S.A.</t>
  </si>
  <si>
    <t>CRAVARI GERAÇÃO DE ENERGIA S.A</t>
  </si>
  <si>
    <t>ARATU-G ARATU GERAÇÃO S/A.</t>
  </si>
  <si>
    <t>ZONA DA MATA ZONA DA MATA GERAÇÃO S.A.</t>
  </si>
  <si>
    <t>USINA TERMELÉTRICA DE ANÁPOLIS LTDA.</t>
  </si>
  <si>
    <t>ENERGÉTICA ÁGUAS DA PEDRA S.A.</t>
  </si>
  <si>
    <t>BONS VENTOS GERADORA DE ENERGIA S.A.</t>
  </si>
  <si>
    <t>VOTORANTIM CIMENTOS BRASIL LTDA.</t>
  </si>
  <si>
    <t>RIO SUCURIÚ ENERGIA S.A.</t>
  </si>
  <si>
    <t>USINA IACANGA DE AÇÚCAR E ÁLCOOL S.A</t>
  </si>
  <si>
    <t>BME RINCÃO DO IVAÍ ENERGIA S.A.</t>
  </si>
  <si>
    <t>RIO PCH I S.A.</t>
  </si>
  <si>
    <t>USINA XAVANTES S.A.</t>
  </si>
  <si>
    <t>BORBOREMA ENERGÉTICA S.A.</t>
  </si>
  <si>
    <t>BARRA BIOENERGIA S.A.</t>
  </si>
  <si>
    <t>TERMELÉTRICA VIANA S.A.</t>
  </si>
  <si>
    <t>COPEL-GT COPEL GERAÇÃO E TRANSMISSÃO S.A.</t>
  </si>
  <si>
    <t>GERANORTE GERADORA DE ENERGIA DO NORTE S.A.</t>
  </si>
  <si>
    <t>ADECOAGRO VALE DO IVINHEMA LTDA</t>
  </si>
  <si>
    <t>LDC BIOENERGIA S.A</t>
  </si>
  <si>
    <t>USINA SÃO JOSÉ DO PINHEIRO LTDA</t>
  </si>
  <si>
    <t>ESTREITO ENERGIA S.A.</t>
  </si>
  <si>
    <t>CAMARGO CORRÊA GERAÇÃO DE ENERGIA S.A.</t>
  </si>
  <si>
    <t>ARCELOR MITTAL BRASIL S.A.</t>
  </si>
  <si>
    <t>ÁGUA PAULISTA GERAÇÃO DE ENERGIA LTDA</t>
  </si>
  <si>
    <t>VÁRZEA DO JUBA ENERGÉTICA S.A.</t>
  </si>
  <si>
    <t>FIBRIA-MS CELULOSE SUL MATO-GROSSENSE LTDA.</t>
  </si>
  <si>
    <t>JULIANA ENERGÉTICA LTDA.</t>
  </si>
  <si>
    <t>SANTA FÉ ENERGIA S.A.</t>
  </si>
  <si>
    <t>PIRAPAMA BIOENERGIA LTDA.</t>
  </si>
  <si>
    <t>GALÓPOLIS ENERGIA S.A.</t>
  </si>
  <si>
    <t>HIDRELÉTRICA PEQUI S/A</t>
  </si>
  <si>
    <t>HIDRELÉTRICA SUCUPIRA LTDA.</t>
  </si>
  <si>
    <t>UTE PASSA TEMPO_A</t>
  </si>
  <si>
    <t>BIOSEV BIOENERGIA S.A</t>
  </si>
  <si>
    <t>ENERGÉTICA SUAPE II S.A.</t>
  </si>
  <si>
    <t>MAUÊ S/A – GERADORA E FORNECEDORA DE INSUMOS</t>
  </si>
  <si>
    <t>GUSA NORDESTE S.A.</t>
  </si>
  <si>
    <t>CERNHE COOPERATIVA DE ELETRIFICAÇÃO E DESENVOLVIMENTO RURAL DA REGIÃO DE NOVO HORIZONTE</t>
  </si>
  <si>
    <t>CERMC</t>
  </si>
  <si>
    <t>CERMC COOPERATIVA DE ELETRIFICAÇÃO E DESENVOLVIMENTO DA REGIÃO DE MOGI DAS CRUZES</t>
  </si>
  <si>
    <t>URVE USINA RIO VERMELHO DE ENERGIA LTDA.</t>
  </si>
  <si>
    <t>USINA BOA VISTA S.A.</t>
  </si>
  <si>
    <t>USINA ELDORADO LTDA.</t>
  </si>
  <si>
    <t>RENUKA GERADORA DE ENERGIA ELÉTRICA LTDA</t>
  </si>
  <si>
    <t>COMPANHIA ENERGÉTICA POTIGUAR S.A.</t>
  </si>
  <si>
    <t>SANTO ANTÔNIO ENERGIA S.A.</t>
  </si>
  <si>
    <t>BIOPAV BIOPAV S.A. AÇÚCAR E ÁLCOOL</t>
  </si>
  <si>
    <t>DA MATA S.A. - AÇÚCAR E ÁLCOOL</t>
  </si>
  <si>
    <t>USINA NOROESTE PAULISTA LTDA.</t>
  </si>
  <si>
    <t>CENTRAL GERADORA HIDROELÉTRICA JE LTDA.</t>
  </si>
  <si>
    <t>COOPERATIVA AGROINDUSTRIAL LAR</t>
  </si>
  <si>
    <t>E G BRASIL ENERGIA LTDA.</t>
  </si>
  <si>
    <t>MONTEVERDE AGRO-ENERGÉTICA S.A.</t>
  </si>
  <si>
    <t>BERNECK S.A, PAINÉIS E SERRADOS</t>
  </si>
  <si>
    <t>VISTA ALEGRE AÇUCAR E ÁLCOOL LTDA.</t>
  </si>
  <si>
    <t>USINA PORTO DAS ÁGUAS LTDA</t>
  </si>
  <si>
    <t>USINA CONQUISTA DO PONTAL S.A.</t>
  </si>
  <si>
    <t>RIO CLARO AGROINDUSTRIAL S.A.</t>
  </si>
  <si>
    <t>AGRO ENERGIA SANTA LUZIA LTDA</t>
  </si>
  <si>
    <t>CENTRAL ENERGÉTICA GUAÍRA LTDA.</t>
  </si>
  <si>
    <t>CEJAMA  COOPERATIVA DE ELETRICIDADE JACINTO MACHADO</t>
  </si>
  <si>
    <t>CERAÇA - COOPERATIVA DE ELETRIFICAÇÃO E DESENVOLVIMENTO RURAL VALE DO ARAÇÁ</t>
  </si>
  <si>
    <t>CERBRANORTE  COOPERATIVA DE ELETRIFICAÇÃO BRAÇO DO NORTE</t>
  </si>
  <si>
    <t xml:space="preserve"> SERRA DO FACÃO ENERGIA S.A.</t>
  </si>
  <si>
    <t>BRENCO  COMPANHIA BRASILEIRA DE ENERGIA RENOVÁVEL</t>
  </si>
  <si>
    <t>SANTA GABRIELA ENERGÉTICA S.A.</t>
  </si>
  <si>
    <t>EPESA CENTRAIS ELÉTRICAS DE PERNAMBUCO S.A.</t>
  </si>
  <si>
    <t>IBITIÚVA BIOENERGÉTICA S.A.</t>
  </si>
  <si>
    <t>UTE PORTO DO ITAQUI GERAÇÃO DE ENERGIA S.A.</t>
  </si>
  <si>
    <t>SAO FERNANDO</t>
  </si>
  <si>
    <t>SÃO FERNANDO AÇÚCAR E ÁLCOOL LTDA.</t>
  </si>
  <si>
    <t>CANDEIAS ENERGIA S.A.</t>
  </si>
  <si>
    <t>REVATI GERADORA DE ENERGIA ELÉTRICA LTDA</t>
  </si>
  <si>
    <t>CENTRAL ITUMBIARA DE BIOENERGIA E ALIMENTOS S.A</t>
  </si>
  <si>
    <t>MPX PECÉM II GERAÇÃO DE ENERGIA S.A.</t>
  </si>
  <si>
    <t>IBRAHIM FAIAD</t>
  </si>
  <si>
    <t>JOSÉ CARLOS COLOMBARI</t>
  </si>
  <si>
    <t>NOVA AMÉRICA S.A. INDUSTRIAL CAARAPÓ</t>
  </si>
  <si>
    <t>COORSEL COOPERATIVA REGIONAL SUL DE ELETRIFICAÇÃO RURAL</t>
  </si>
  <si>
    <t>BIOLINS ENERGIA S.A</t>
  </si>
  <si>
    <t>SÃO MIGUEL - CENTRAL GERADORA DE ENERGIA LTDA.</t>
  </si>
  <si>
    <t>BROOKFIELD BROOKFIELD ENERGIA RENOVÁVEL S/A</t>
  </si>
  <si>
    <t>COPREL - COOPERATIVA DE GERAÇÃO DE ENERGIA E DESENVOLVIMENTO</t>
  </si>
  <si>
    <t>LAJEADO ENERGIA S.A.</t>
  </si>
  <si>
    <t>SANTA CLARA V ENERGIAS RENOVAVEIS LTDA.</t>
  </si>
  <si>
    <t>SANTA CLARA II ENERGIAS RENOVAVEIS LTDA.</t>
  </si>
  <si>
    <t>BAGUARI ENERGIA S.A.</t>
  </si>
  <si>
    <t>EPASA CENTRAIS ELÉTRICAS DA PARAÍBA S.A.</t>
  </si>
  <si>
    <t>PORTO DO PECÉM GERAÇÃO DE ENERGIA S.A.</t>
  </si>
  <si>
    <t>RIO VERDE ENERGIA S.A..</t>
  </si>
  <si>
    <t>MIRABELA MINERAÇÃO DO BRASIL LTDA.</t>
  </si>
  <si>
    <t>COOPERLUZ GERAÇÃO COOPERATIVA DE GERAÇÃO DE ENERGIA E DESENVOLVIMENTO</t>
  </si>
  <si>
    <t>EÓLICA MANGUE SECO 3 – GERADORA E COMERCIALIZADORA DE ENERGIA ELÉTRICA S.A.</t>
  </si>
  <si>
    <t>EÓLICA MANGUE SECO 2 – GERADORA E COMERCIALIZADORA DE ENERGIA ELÉTRICA S.A.</t>
  </si>
  <si>
    <t>EÓLICA MANGUE SECO 1 – GERADORA E COMERCIALIZADORA DE ENERGIA ELÉTRICA S.A.</t>
  </si>
  <si>
    <t>VENTOS DO LITORAL ENERGIA S.A.</t>
  </si>
  <si>
    <t>COMPANHIA ENERGÉTICA ESTREITO S.A.</t>
  </si>
  <si>
    <t>ENERGEN ENERGIAS RENOVÁVEIS S.A.</t>
  </si>
  <si>
    <t>SANTA CLARA III ENERGIAS RENOVÁVEIS LTDA.</t>
  </si>
  <si>
    <t>SANTA CLARA I ENERGIAS RENOVÁVEIS LTDA.</t>
  </si>
  <si>
    <t>EÓLICA MANGUE SECO 4 – GERADORA E COMERCIALIZADORA DE ENERGIA ELÉTRICA S.A.</t>
  </si>
  <si>
    <t>DESA MORRO DOS VENTOS I S.A</t>
  </si>
  <si>
    <t>DESA MORRO DOS VENTOS VI S.A</t>
  </si>
  <si>
    <t>DESA MORRO DOS VENTOS IX S.A</t>
  </si>
  <si>
    <t>SANTA CLARA IV ENERGIAS RENOVÁVEIS LTDA</t>
  </si>
  <si>
    <t>SANTA CLARA VI ENERGIAS RENOVÁVEIS LTDA</t>
  </si>
  <si>
    <t>SEABRA ENERGÉTICA S.A</t>
  </si>
  <si>
    <t>NOVO HORIZONTE ENERGÉTICA S.A</t>
  </si>
  <si>
    <t>CERTEL ENERGIA COOPERATIVA DE DISTRIBUÇÃO DE ENERGIA TEUTÔNIA</t>
  </si>
  <si>
    <t>CENTRAIS EÓLICAS ILHÉUS S.A</t>
  </si>
  <si>
    <t>CENTRAIS EÓLICAS CANDIBA S.A</t>
  </si>
  <si>
    <t>CENTRAIS EÓLICAS LICÍNIO DE ALMEIDA S.A</t>
  </si>
  <si>
    <t>CENTRAIS EÓLICAS NOSSA SENHORA CONCEIÇÃO S.A</t>
  </si>
  <si>
    <t>CENTRAIS EÓLICAS PAJEÚ DO VENTO S.A</t>
  </si>
  <si>
    <t>CENTRAIS EÓLICAS ALVORADA S.A</t>
  </si>
  <si>
    <t>CENTRAIS EÓLICAS IGAPORÃ S.A</t>
  </si>
  <si>
    <t>CENTRAIS EÓLICAS PLANALTINA S.A</t>
  </si>
  <si>
    <t>CENTRAIS EÓLICAS PORTO SEGURO S.A</t>
  </si>
  <si>
    <t>CENTRAIS EÓLICAS PINDAÍ S.A</t>
  </si>
  <si>
    <t>VENTOS DA LAGOA S.A</t>
  </si>
  <si>
    <t>CENTRAIS EÓLICAS GUANAMBI S.A</t>
  </si>
  <si>
    <t>DESA MORRO DOS VENTOS III S.A</t>
  </si>
  <si>
    <t>DESA MORRO DOS VENTOS IV S.A</t>
  </si>
  <si>
    <t>CPFL BIO FORMOSA S.A</t>
  </si>
  <si>
    <t>CENTRAIS EÓLICAS GUIRAPÁ S.A</t>
  </si>
  <si>
    <t>INDAIAZINHO ENERGIA S.A</t>
  </si>
  <si>
    <t>EÓLICA CERRO CHATO I S.A</t>
  </si>
  <si>
    <t>EÓLICA CERRO CHATO II S.A</t>
  </si>
  <si>
    <t>EÓLICA CERRO CHATO III S.A</t>
  </si>
  <si>
    <t>EURUS VI ENERGIAS RENOVÁVEIS LTDA</t>
  </si>
  <si>
    <t>INDAIÁ GRANDE ENERGIA S.A</t>
  </si>
  <si>
    <t xml:space="preserve"> CODORA ENERGIA LTDA</t>
  </si>
  <si>
    <t>VALE S/A</t>
  </si>
  <si>
    <t>AGRO INDUSTRIAL CAMPO LINDO LTDA</t>
  </si>
  <si>
    <t>MACAÚBAS ENERGÉTICA S.A</t>
  </si>
  <si>
    <t>BOLOGNESI PARTICIPAÇÕES S.A</t>
  </si>
  <si>
    <t>CPFL BIO DA PEDRA S/A</t>
  </si>
  <si>
    <t>SÃO GABRIEL HIDROENERGIA LTDA</t>
  </si>
  <si>
    <t>SÃO FERNANDO ENERGIA I LTDA</t>
  </si>
  <si>
    <t>CENTRAIS EÓLICAS SERRA DO SALTO S.A</t>
  </si>
  <si>
    <t>CPFL BIO IPÊ S.A</t>
  </si>
  <si>
    <t>SERRA DOS CAVALINHOS II ENERGÉTICA S.A</t>
  </si>
  <si>
    <t>CHIMAY EMPREENDIMENTOS E PARTICIPAÇÕES LTDA</t>
  </si>
  <si>
    <t>JAYADITYA EMPREENDIMENTOS E PARTICIPAÇÕES LTDA</t>
  </si>
  <si>
    <t>MOHINI EMPREENDIMENTOS E PARTICIPAÇÕES LTDA</t>
  </si>
  <si>
    <t>CENTRAIS EÓLICAS RIO VERDE S.A</t>
  </si>
  <si>
    <t>PEZZI ENERGÉTICA S.A</t>
  </si>
  <si>
    <t>AGRO INDUSTRIAL CAPELA LTDA</t>
  </si>
  <si>
    <t>GERDAU (VILLARES)</t>
  </si>
  <si>
    <t>GERDAU GERDAU S/A</t>
  </si>
  <si>
    <t>GERDAU AÇOS LONGOS - COPEL</t>
  </si>
  <si>
    <t>GERDAU ARC GERDAU AÇOS LONGOS S.A.</t>
  </si>
  <si>
    <t>PERÓXIDOS DO BRASIL</t>
  </si>
  <si>
    <t>PERÓXIDOS PERÓXIDOS DO BRASIL LTDA</t>
  </si>
  <si>
    <t>WHB FUNDIÇÃO</t>
  </si>
  <si>
    <t>WHB WHB FUNDIÇÃO S.A</t>
  </si>
  <si>
    <t>CIMENTO RIO BRANCO S.A.</t>
  </si>
  <si>
    <t>VOTORANTIM VOTORANTIM CIMENTOS BRASIL SA</t>
  </si>
  <si>
    <t>PETROBRÁS</t>
  </si>
  <si>
    <t>PETROBRÁS SMS PETRÓLEO BRASILEIRO S.A. - PETROBRÁS</t>
  </si>
  <si>
    <t>CCCP</t>
  </si>
  <si>
    <t>CIMENTO POTY  VOTORANTIM  CIMENTOS  N/NE  S.A</t>
  </si>
  <si>
    <t>USIMINAS</t>
  </si>
  <si>
    <t>USIMINAS USINAS SIDERÚRGICAS DE MINAS GERAIS S/A</t>
  </si>
  <si>
    <t>GERDAU AÇOS GERDAU AÇOS ESPECIAIS S/A</t>
  </si>
  <si>
    <t>GERDAU GERDAU AÇOS LONGOS S/A</t>
  </si>
  <si>
    <t>MASISA</t>
  </si>
  <si>
    <t>MASISA MASISA DO BRASIL LTDA</t>
  </si>
  <si>
    <t>BOREALIS</t>
  </si>
  <si>
    <t>BOREALIS BOREALIS OPP S/A</t>
  </si>
  <si>
    <t>BRASKEM</t>
  </si>
  <si>
    <t>BRASKEM BRASKEM S/A</t>
  </si>
  <si>
    <t>LANXESS (ANTIGA PETROFLEX)</t>
  </si>
  <si>
    <t>PETROFLEX PETROFLEX INDÚSTRIA  E COMÉRCIO S/A</t>
  </si>
  <si>
    <t>SCHINCARIOL - CELPE</t>
  </si>
  <si>
    <t>PRIMO SCHINCARIOL PRIMO SCHINCARIOL INDÚSTRIA DE CERVEJA E REFRIGERANTES S/A</t>
  </si>
  <si>
    <t>M&amp;G</t>
  </si>
  <si>
    <t>M&amp;G M&amp;G POLÍMEROS DO BRASIL S/A</t>
  </si>
  <si>
    <t>ARCELORMITTAL INOX - CEMIG</t>
  </si>
  <si>
    <t>ARCELORMITTAL INOX ARCELORMITTAL INOX BRASIL S.A.</t>
  </si>
  <si>
    <t>ARCELORMITTAL - CEMIG</t>
  </si>
  <si>
    <t>ARCELORMITTAL ARCELORMITTAL BRASIL S A</t>
  </si>
  <si>
    <t>USIMINAS - CEMIG</t>
  </si>
  <si>
    <t>USIMINAS USIMINAS</t>
  </si>
  <si>
    <t>EKA</t>
  </si>
  <si>
    <t>EKA BAHIA EKA BAHIA S.A.</t>
  </si>
  <si>
    <t>CONTINENTAL</t>
  </si>
  <si>
    <t>CONTINENTAL CONTINENTAL DO BRASIL PRODUTOS  AUTOMOTIVOS LTDA</t>
  </si>
  <si>
    <t>EMBASA</t>
  </si>
  <si>
    <t>EMBASA - SERV. PUB. EMPRESA BAIANA DE AGUAS E SANEAMENTO S.A. (SERVIÇO PÚBLICO (ÁGUA, ESGOTO E SANEAMENTO)</t>
  </si>
  <si>
    <t>FORD FORD MOTOR COMPANY BRASIL LTDA</t>
  </si>
  <si>
    <t>WHITE MARTINS</t>
  </si>
  <si>
    <t>WHITE MARTINS WHITE MARTINS GASES INDUSTRIAIS LTDA</t>
  </si>
  <si>
    <t>CITEPE</t>
  </si>
  <si>
    <t>CITEPE COMPANHIA INTEGRADA TÊXTIL DE PERNAMBUCO</t>
  </si>
  <si>
    <t>ARCELORMITTAL BRASIL (VEGA DO SUL)</t>
  </si>
  <si>
    <t>ARCELORMITTAL ARCELOMITTAL BRASIL S.A.</t>
  </si>
  <si>
    <t>GMP</t>
  </si>
  <si>
    <t>GM - General Motors do Brasil LTDA</t>
  </si>
  <si>
    <t>VIPAL</t>
  </si>
  <si>
    <t>VIPAL - Borrachas Vipal S/A</t>
  </si>
  <si>
    <t>SCHINCARIOL - CEMAR</t>
  </si>
  <si>
    <t>SCHINCARIOL - Schincariol</t>
  </si>
  <si>
    <t>BRASPELCO</t>
  </si>
  <si>
    <t>BRASPELGO - BRASPELCO INDUSTRIA E COMERCIO LTDA</t>
  </si>
  <si>
    <t>CODEMIN</t>
  </si>
  <si>
    <t>CODEMIN - CODEMIN SA</t>
  </si>
  <si>
    <t>JBS</t>
  </si>
  <si>
    <t>JBS - JBS S/A</t>
  </si>
  <si>
    <t>OTB</t>
  </si>
  <si>
    <t>OTB - ORGANIZACION TERRITORIAL DE BASE MONTEVIDEO</t>
  </si>
  <si>
    <t>VOTORANTIM METAIS ZINCO</t>
  </si>
  <si>
    <t>VOTORANTIM - VOTORANTIM METAIS ZINCO S</t>
  </si>
  <si>
    <t>EPB - SE Sertânia</t>
  </si>
  <si>
    <t>EPB - Energisa PB - SE Sertânia</t>
  </si>
  <si>
    <t>EPB - SE Flores</t>
  </si>
  <si>
    <t>EPB - Energisa PB - SE Flores</t>
  </si>
  <si>
    <t>SULGIPE – Secc. Brahma</t>
  </si>
  <si>
    <t>Sulgipe - Sulgipe – Secc. Brahma</t>
  </si>
  <si>
    <t>SULGIPE – SE Itabaianinha</t>
  </si>
  <si>
    <t>sulgipe - Sulgipe – SE Itabaianinha</t>
  </si>
  <si>
    <t>CIMPOR</t>
  </si>
  <si>
    <t>Cimpor Cimentos do Brasil LTDA</t>
  </si>
  <si>
    <t>Linde Gases</t>
  </si>
  <si>
    <t>COOSALUZ</t>
  </si>
  <si>
    <t>CEMAT-BOLIVIA - COOP DE AGUA POTABLE Y ENERGIA ELECTRICA COOSALUZ - SAN VICENTE LTDA</t>
  </si>
  <si>
    <t>EPB - SE SEITH</t>
  </si>
  <si>
    <t>SEITH - Sulgipe (SEITH-02M3-01)</t>
  </si>
  <si>
    <t>SANTA MARTA</t>
  </si>
  <si>
    <t>Santa Marta</t>
  </si>
  <si>
    <t>PCH SANTA ROSA</t>
  </si>
  <si>
    <t>Santa Rosa</t>
  </si>
  <si>
    <t>Santa Rosa II</t>
  </si>
  <si>
    <t>SÃO BERNARDO</t>
  </si>
  <si>
    <t>São Bernardo</t>
  </si>
  <si>
    <t>SÃO JERÔNIMO</t>
  </si>
  <si>
    <t>São Jerônimo</t>
  </si>
  <si>
    <t>São João</t>
  </si>
  <si>
    <t>São João I</t>
  </si>
  <si>
    <t>São Joaquim</t>
  </si>
  <si>
    <t>UTE SAO JOSE MACATUBA</t>
  </si>
  <si>
    <t>São José</t>
  </si>
  <si>
    <t>SÃO JOSÉ</t>
  </si>
  <si>
    <t>UTE SÃO LUIZ</t>
  </si>
  <si>
    <t>São Luiz</t>
  </si>
  <si>
    <t>UTE SAO MARTINHO</t>
  </si>
  <si>
    <t>São Martinho</t>
  </si>
  <si>
    <t>UTE CUIABA</t>
  </si>
  <si>
    <t>Cuiabá</t>
  </si>
  <si>
    <t>Lageado</t>
  </si>
  <si>
    <t>PCH ERVÁLIA</t>
  </si>
  <si>
    <t>Ervália</t>
  </si>
  <si>
    <t>UHE FUNIL - BA</t>
  </si>
  <si>
    <t>PCH PEDRA</t>
  </si>
  <si>
    <t>Pedra</t>
  </si>
  <si>
    <t>UTE BARRA GRANDE - SP</t>
  </si>
  <si>
    <t>Barra Grande de Lençóis</t>
  </si>
  <si>
    <t>UTE CRESCIUMAL</t>
  </si>
  <si>
    <t>LDC Bioenergia Leme (Ex.Coinbra - Cresciumal)</t>
  </si>
  <si>
    <t>CTE II</t>
  </si>
  <si>
    <t>Dourados</t>
  </si>
  <si>
    <t>PCH FUNIL</t>
  </si>
  <si>
    <t>UTE WILLIAM ARJONA</t>
  </si>
  <si>
    <t>Modular de Campo Grande (Willian Arjona)</t>
  </si>
  <si>
    <t>ENERGY WORKS KAISER JACAREÍ</t>
  </si>
  <si>
    <t>Energy Works Kaiser Jacareí</t>
  </si>
  <si>
    <t>UHE CANOAS II</t>
  </si>
  <si>
    <t>Canoas II</t>
  </si>
  <si>
    <t>São Pedro</t>
  </si>
  <si>
    <t>RIO FORTALEZA</t>
  </si>
  <si>
    <t>Rio Fortaleza</t>
  </si>
  <si>
    <t>Capão Preto</t>
  </si>
  <si>
    <t>PCH ELOY CHAVES</t>
  </si>
  <si>
    <t>Eloy Chaves</t>
  </si>
  <si>
    <t>Jaguari</t>
  </si>
  <si>
    <t>Casca II</t>
  </si>
  <si>
    <t>Culuene</t>
  </si>
  <si>
    <t>Braço Norte</t>
  </si>
  <si>
    <t>UHE FUNIL - RJ</t>
  </si>
  <si>
    <t>UHE PARAIBUNA</t>
  </si>
  <si>
    <t>Paraibuna</t>
  </si>
  <si>
    <t>DOUTOR AUGUSTO GONÇALVES</t>
  </si>
  <si>
    <t>Doutor Augusto Gonçalves</t>
  </si>
  <si>
    <t>UHE CURUA-UNA</t>
  </si>
  <si>
    <t>Curuá-Una</t>
  </si>
  <si>
    <t>UHE JAGUARI</t>
  </si>
  <si>
    <t>São Jorge</t>
  </si>
  <si>
    <t>Salto Grande</t>
  </si>
  <si>
    <t>Barra</t>
  </si>
  <si>
    <t>PCH BRACO NORTE III</t>
  </si>
  <si>
    <t>Braço Norte III</t>
  </si>
  <si>
    <t>São João II</t>
  </si>
  <si>
    <t>São Lourenço</t>
  </si>
  <si>
    <t>BENJAMIM</t>
  </si>
  <si>
    <t>Benjamim Mário Baptista (Nova Sinceridade)</t>
  </si>
  <si>
    <t>UHE SALTO GRANDE - MG</t>
  </si>
  <si>
    <t>PCH OMBREIRAS</t>
  </si>
  <si>
    <t>Ombreiras</t>
  </si>
  <si>
    <t>Dianópolis</t>
  </si>
  <si>
    <t>PCH PINHAL</t>
  </si>
  <si>
    <t>Pinhal</t>
  </si>
  <si>
    <t>UTE SANTA CRUZ</t>
  </si>
  <si>
    <t>Santa Cruz</t>
  </si>
  <si>
    <t>RIO PRATA</t>
  </si>
  <si>
    <t>Rio Prata</t>
  </si>
  <si>
    <t>PCH SALTO CORGAO</t>
  </si>
  <si>
    <t>Salto Corgão</t>
  </si>
  <si>
    <t>UTE SÃO FRANCISCO</t>
  </si>
  <si>
    <t>São Francisco</t>
  </si>
  <si>
    <t>LUCÉLIA</t>
  </si>
  <si>
    <t>Lucélia</t>
  </si>
  <si>
    <t>UTE FURLAN AVARE</t>
  </si>
  <si>
    <t>FURLAN AVARE</t>
  </si>
  <si>
    <t>UTE SANTA ADELIA</t>
  </si>
  <si>
    <t>Santa Adélia</t>
  </si>
  <si>
    <t>UTE RUETTE</t>
  </si>
  <si>
    <t>Ruette</t>
  </si>
  <si>
    <t>PCH INDIAVAI</t>
  </si>
  <si>
    <t>Indiavaí</t>
  </si>
  <si>
    <t>CUREMAS</t>
  </si>
  <si>
    <t>Curemas</t>
  </si>
  <si>
    <t>PCH IJUIZINHO</t>
  </si>
  <si>
    <t>Ijuizinho</t>
  </si>
  <si>
    <t>Diacal II</t>
  </si>
  <si>
    <t>Alto Fêmeas I</t>
  </si>
  <si>
    <t>Santana</t>
  </si>
  <si>
    <t>Poxoréo (José Fragelli)</t>
  </si>
  <si>
    <t>Aripuanã</t>
  </si>
  <si>
    <t>SANTA LUZIA</t>
  </si>
  <si>
    <t>Santa Luzia</t>
  </si>
  <si>
    <t>UHE RONDON II</t>
  </si>
  <si>
    <t>Rondon II</t>
  </si>
  <si>
    <t>UHE AMADOR AGUIAR I (C.BRANCO I)</t>
  </si>
  <si>
    <t>Amador Aguiar I (Antiga Capim Branco I)</t>
  </si>
  <si>
    <t>UHE AMADOR AGUIAR II (C.BRANCO II)</t>
  </si>
  <si>
    <t>Amador Aguiar II (Antiga Capim Branco II)</t>
  </si>
  <si>
    <t>CAQUENDE</t>
  </si>
  <si>
    <t>Caquende</t>
  </si>
  <si>
    <t>BARRA DA PACIÊNCIA</t>
  </si>
  <si>
    <t>Barra da Paciência</t>
  </si>
  <si>
    <t>PCH IVAN BOTELHO III (TRIUNFO)</t>
  </si>
  <si>
    <t>Ivan Botelho III (Ex-Triunfo)</t>
  </si>
  <si>
    <t>Piranhas</t>
  </si>
  <si>
    <t>PCH IVAN BOTELHO I (PONTE)</t>
  </si>
  <si>
    <t>Ivan Botelho I (Ex-Ponte)</t>
  </si>
  <si>
    <t>Vitorino</t>
  </si>
  <si>
    <t>Corujão</t>
  </si>
  <si>
    <t>Ponte Alta</t>
  </si>
  <si>
    <t>VÁRZEA ALEGRE</t>
  </si>
  <si>
    <t>Várzea Alegre</t>
  </si>
  <si>
    <t>Fumaça IV</t>
  </si>
  <si>
    <t>PCH NINHO DA AGUIA</t>
  </si>
  <si>
    <t>Ninho da Águia</t>
  </si>
  <si>
    <t>PCH PARAISO I</t>
  </si>
  <si>
    <t>Paraíso I</t>
  </si>
  <si>
    <t>Calheiros</t>
  </si>
  <si>
    <t>SÃO GONÇALO (ANTIGA SANTA BÁRBARA)</t>
  </si>
  <si>
    <t>São Gonçalo (Antiga Santa Bárbara)</t>
  </si>
  <si>
    <t>UTE SÃO JOÃO DA BOA VISTA</t>
  </si>
  <si>
    <t>São João da Boa Vista</t>
  </si>
  <si>
    <t>Mafrás</t>
  </si>
  <si>
    <t>SALTO FORQUETA</t>
  </si>
  <si>
    <t>Salto Forqueta</t>
  </si>
  <si>
    <t>PCH SALTO</t>
  </si>
  <si>
    <t>Salto</t>
  </si>
  <si>
    <t>NOVA MAURICIO</t>
  </si>
  <si>
    <t>Nova Maurício</t>
  </si>
  <si>
    <t>PCH IVAN BOTELHO II (PALESTINA)</t>
  </si>
  <si>
    <t>Ivan Botelho II (Ex-Palestina)</t>
  </si>
  <si>
    <t>COCAIS GRANDE</t>
  </si>
  <si>
    <t>Cocais Grande</t>
  </si>
  <si>
    <t>VARGINHA</t>
  </si>
  <si>
    <t>Varginha</t>
  </si>
  <si>
    <t>CRISTINA</t>
  </si>
  <si>
    <t>Cristina</t>
  </si>
  <si>
    <t>PCH CARANGOLA</t>
  </si>
  <si>
    <t>Carangola</t>
  </si>
  <si>
    <t>Santa Cândida</t>
  </si>
  <si>
    <t>UTE IBITIÚVA</t>
  </si>
  <si>
    <t>Ibitiúva Bioenergética (Antiga Destilaria Andrade)</t>
  </si>
  <si>
    <t>Klabin</t>
  </si>
  <si>
    <t>UTE MANDU</t>
  </si>
  <si>
    <t>Mandu</t>
  </si>
  <si>
    <t>UHE CORUMBA IV</t>
  </si>
  <si>
    <t>Corumbá IV</t>
  </si>
  <si>
    <t>UTE GUARANI - CRUZ ALTA</t>
  </si>
  <si>
    <t>UTE SAO JOSE ESTIVA</t>
  </si>
  <si>
    <t>São José da Estiva</t>
  </si>
  <si>
    <t>CORRENTE GRANDE</t>
  </si>
  <si>
    <t>Corrente Grande</t>
  </si>
  <si>
    <t>SÃO DOMINGOS</t>
  </si>
  <si>
    <t>São Domingos</t>
  </si>
  <si>
    <t>UHE OURINHOS</t>
  </si>
  <si>
    <t>Ourinhos</t>
  </si>
  <si>
    <t>Linha Emília</t>
  </si>
  <si>
    <t>Cotiporã</t>
  </si>
  <si>
    <t>Caçador</t>
  </si>
  <si>
    <t>Salto Natal</t>
  </si>
  <si>
    <t>Ferradura</t>
  </si>
  <si>
    <t>UTE MOEMA</t>
  </si>
  <si>
    <t>Moema</t>
  </si>
  <si>
    <t>UTE GOV.LEONEL BRIZOLA (TERMORIO)</t>
  </si>
  <si>
    <t>Governador Leonel Brizola (Ex TermoRio)</t>
  </si>
  <si>
    <t>UTE AGUA BONITA</t>
  </si>
  <si>
    <t>Água Bonita</t>
  </si>
  <si>
    <t>FEIJOAL</t>
  </si>
  <si>
    <t>Feijoal</t>
  </si>
  <si>
    <t>SISTEMA DE COGERAÇÃO DA  RECAP</t>
  </si>
  <si>
    <t>Sistema de Cogeração da  RECAP</t>
  </si>
  <si>
    <t>Eólio - Elétrica de Palmas</t>
  </si>
  <si>
    <t>AREIA BRANCA</t>
  </si>
  <si>
    <t>Areia Branca</t>
  </si>
  <si>
    <t>UTE ALCIDIA</t>
  </si>
  <si>
    <t>Alcidia</t>
  </si>
  <si>
    <t>PCH FRANCISCO GROS</t>
  </si>
  <si>
    <t>Santa Fé</t>
  </si>
  <si>
    <t>Lwarcel</t>
  </si>
  <si>
    <t>SANTA CECILIA</t>
  </si>
  <si>
    <t>Santa Cecília</t>
  </si>
  <si>
    <t>UTE CAMPOS</t>
  </si>
  <si>
    <t>Campos (Antiga Roberto Silveira)</t>
  </si>
  <si>
    <t>CACHOEIRÃO</t>
  </si>
  <si>
    <t>Cachoeirão</t>
  </si>
  <si>
    <t>CENIBRA</t>
  </si>
  <si>
    <t>Cenibra</t>
  </si>
  <si>
    <t>UTE FBA GASA - ANDRADINA</t>
  </si>
  <si>
    <t>Gasa</t>
  </si>
  <si>
    <t>UTE BARBOSA L.S. (ELETROBOLT)</t>
  </si>
  <si>
    <t>Barbosa Lima Sobrinho (Ex-Eletrobolt)</t>
  </si>
  <si>
    <t>PCH FUMAÇA</t>
  </si>
  <si>
    <t>Fumaça</t>
  </si>
  <si>
    <t>ORMEO</t>
  </si>
  <si>
    <t>Ormeo Junqueira Botelho (Ex-Cachoeira Encoberta)</t>
  </si>
  <si>
    <t>Santa Laura</t>
  </si>
  <si>
    <t>UTE COCAL</t>
  </si>
  <si>
    <t>Cocal</t>
  </si>
  <si>
    <t>UTE L.CARLOS PRESTES (T.LAGOAS)</t>
  </si>
  <si>
    <t>Luiz Carlos Prestes (Ex-Três Lagoas)</t>
  </si>
  <si>
    <t>Itaipava</t>
  </si>
  <si>
    <t>PCH SAO JOAQUIM</t>
  </si>
  <si>
    <t>Santa Lúcia</t>
  </si>
  <si>
    <t>PCH NHANDU</t>
  </si>
  <si>
    <t>Cachoeira</t>
  </si>
  <si>
    <t>UHE MIMOSO</t>
  </si>
  <si>
    <t>Assis Chateaubrind (Antiga Salto Mimoso)</t>
  </si>
  <si>
    <t>PIRAMBEIRA</t>
  </si>
  <si>
    <t>Pirambeira</t>
  </si>
  <si>
    <t>RIBEIRÃO</t>
  </si>
  <si>
    <t>Ribeirão</t>
  </si>
  <si>
    <t>CONGONHAL II</t>
  </si>
  <si>
    <t>Congonhal II</t>
  </si>
  <si>
    <t>DR. HENRIQUE PORTUGAL</t>
  </si>
  <si>
    <t>Dr. Henrique Portugal</t>
  </si>
  <si>
    <t>SÃO SEBASTIÃO</t>
  </si>
  <si>
    <t>São Sebastião</t>
  </si>
  <si>
    <t>UTE GUARANI</t>
  </si>
  <si>
    <t>Guarani</t>
  </si>
  <si>
    <t>Carlos Gonzatto</t>
  </si>
  <si>
    <t>CONGONHAL I</t>
  </si>
  <si>
    <t>Congonhal I</t>
  </si>
  <si>
    <t>URUBA</t>
  </si>
  <si>
    <t>Uruba</t>
  </si>
  <si>
    <t>UTE CERRADINHO CATANDUVA</t>
  </si>
  <si>
    <t>Cerradinho</t>
  </si>
  <si>
    <t>UTE PIONEIROS</t>
  </si>
  <si>
    <t>Pioneiros</t>
  </si>
  <si>
    <t>UTE DECASA</t>
  </si>
  <si>
    <t>Decasa</t>
  </si>
  <si>
    <t>GUAXUMA</t>
  </si>
  <si>
    <t>Guaxuma</t>
  </si>
  <si>
    <t>UTE FERRARI - PIRASSUNUNGA</t>
  </si>
  <si>
    <t>Ferrari</t>
  </si>
  <si>
    <t>Usina São Luiz</t>
  </si>
  <si>
    <t>UTE CORN PRODUCTS</t>
  </si>
  <si>
    <t>EnergyWorks Corn Products Mogi</t>
  </si>
  <si>
    <t>ENERGYWORKS CORN PRODUCTS BALSA</t>
  </si>
  <si>
    <t>EnergyWorks Corn Products Balsa</t>
  </si>
  <si>
    <t>BOSSARDI</t>
  </si>
  <si>
    <t>Bossardi</t>
  </si>
  <si>
    <t>PCH DONA RITA</t>
  </si>
  <si>
    <t>Dona Rita</t>
  </si>
  <si>
    <t>Pirapó</t>
  </si>
  <si>
    <t>UTE COLORADO</t>
  </si>
  <si>
    <t>Colorado</t>
  </si>
  <si>
    <t>NOVA AMERICA</t>
  </si>
  <si>
    <t>Nova América</t>
  </si>
  <si>
    <t>UTE EQUIPAV I</t>
  </si>
  <si>
    <t>Equipav</t>
  </si>
  <si>
    <t>UTE PASSA TEMPO</t>
  </si>
  <si>
    <t>Passa Tempo</t>
  </si>
  <si>
    <t>Jalles Machado</t>
  </si>
  <si>
    <t>Goiasa</t>
  </si>
  <si>
    <t>Itamarati</t>
  </si>
  <si>
    <t>UTE SANTA TEREZINHA UN. PARANACITY</t>
  </si>
  <si>
    <t>Santa Terezinha Paranacity</t>
  </si>
  <si>
    <t>Energia Madeiras</t>
  </si>
  <si>
    <t>UTE BIO COOPCANA</t>
  </si>
  <si>
    <t>SPE BIO COOPCANA S.A.</t>
  </si>
  <si>
    <t>UTE SANTA TEREZINHA</t>
  </si>
  <si>
    <t>Santa Terezinha</t>
  </si>
  <si>
    <t>Coxim (Vitor Brito)</t>
  </si>
  <si>
    <t>Juína</t>
  </si>
  <si>
    <t>PCH SAO SIMAO</t>
  </si>
  <si>
    <t>São Simão</t>
  </si>
  <si>
    <t>Parque Eólico de Beberibe</t>
  </si>
  <si>
    <t>PCH FURQUIM</t>
  </si>
  <si>
    <t>Furquim</t>
  </si>
  <si>
    <t>SANTA EDWIGES III</t>
  </si>
  <si>
    <t>Santa Edwiges III</t>
  </si>
  <si>
    <t>Santa Edwiges II</t>
  </si>
  <si>
    <t>Riachão (Antiga Santa Edwiges I)</t>
  </si>
  <si>
    <t>UTE FERNANDO GASPARIAN (N.PIRAT)</t>
  </si>
  <si>
    <t>Fernando Gasparian (Ex-Nova Piratininga)</t>
  </si>
  <si>
    <t>Usina do Rio Bonito I</t>
  </si>
  <si>
    <t>RIO PALMEIRAS I</t>
  </si>
  <si>
    <t>Rio Palmeiras I</t>
  </si>
  <si>
    <t>TRIÁLCOOL</t>
  </si>
  <si>
    <t>Triálcool</t>
  </si>
  <si>
    <t>Dona Maria Piana</t>
  </si>
  <si>
    <t>Romulo I</t>
  </si>
  <si>
    <t>Rômulo Almeida Unidade I (Antiga Usina de Cogeração Camaçari - FAFEN Energia)</t>
  </si>
  <si>
    <t>Usina da Serra</t>
  </si>
  <si>
    <t>MADAME DENISE (CACHOEIRA DO FURADO)</t>
  </si>
  <si>
    <t>Madame Denise (Cachoeira do Furado)</t>
  </si>
  <si>
    <t>UTE COSTA PINTO</t>
  </si>
  <si>
    <t>Costa Pinto</t>
  </si>
  <si>
    <t>JOSÉ BARASUOL (ANTIGA LINHA 3 LESTE)</t>
  </si>
  <si>
    <t>José Barasuol (Antiga Linha 3 Leste)</t>
  </si>
  <si>
    <t>UTE SANTA ELISA</t>
  </si>
  <si>
    <t>Santa Elisa - Unidade I</t>
  </si>
  <si>
    <t>SANTA TEREZINHA</t>
  </si>
  <si>
    <t>ECOLUZ</t>
  </si>
  <si>
    <t>Ecoluz</t>
  </si>
  <si>
    <t>Clealco</t>
  </si>
  <si>
    <t>UTE QUATA</t>
  </si>
  <si>
    <t>Quatá</t>
  </si>
  <si>
    <t>Macaíba (Antiga Termo Toalia)</t>
  </si>
  <si>
    <t>Zanin</t>
  </si>
  <si>
    <t>Termocabo</t>
  </si>
  <si>
    <t>NOBRECEL</t>
  </si>
  <si>
    <t>Nobrecel</t>
  </si>
  <si>
    <t>Santo Antônio</t>
  </si>
  <si>
    <t>UHE CORUMBA III</t>
  </si>
  <si>
    <t>Corumbá III</t>
  </si>
  <si>
    <t>UHE SERRA DO FACÃO</t>
  </si>
  <si>
    <t>Serra do Facão</t>
  </si>
  <si>
    <t>UHE FUNDAO</t>
  </si>
  <si>
    <t>Fundão</t>
  </si>
  <si>
    <t>UHE SANTA CLARA - PR (ELEJOR)</t>
  </si>
  <si>
    <t>UTE ALTO ALEGRE - SP</t>
  </si>
  <si>
    <t>UFA</t>
  </si>
  <si>
    <t>UTE ALTO ALEGRE - UJU</t>
  </si>
  <si>
    <t>UJU</t>
  </si>
  <si>
    <t>FRANCISCO GROSS (ANTIGA SANTA FÉ)</t>
  </si>
  <si>
    <t>Francisco Gross (Antiga Santa Fé)</t>
  </si>
  <si>
    <t>CACHOEIRA DOS MACACOS</t>
  </si>
  <si>
    <t>Cachoeira dos Macacos</t>
  </si>
  <si>
    <t>PCH SAO DOMINGOS II</t>
  </si>
  <si>
    <t>São Domingos II</t>
  </si>
  <si>
    <t>Bandeirante</t>
  </si>
  <si>
    <t>JB</t>
  </si>
  <si>
    <t>Senador Jonas Pinheiro (Caeté)</t>
  </si>
  <si>
    <t>Santa Lúcia II</t>
  </si>
  <si>
    <t>UTE SANTA ISABEL</t>
  </si>
  <si>
    <t>Santa Isabel</t>
  </si>
  <si>
    <t>RN 15 - Rio do Fogo</t>
  </si>
  <si>
    <t>PCH FORTUNA II</t>
  </si>
  <si>
    <t>Fortuna II</t>
  </si>
  <si>
    <t>Esmeralda</t>
  </si>
  <si>
    <t>ALEGRIA I</t>
  </si>
  <si>
    <t>Alegria I</t>
  </si>
  <si>
    <t>PCH AREIA</t>
  </si>
  <si>
    <t>Areia</t>
  </si>
  <si>
    <t>PCH AGUA LIMPA</t>
  </si>
  <si>
    <t>Água Limpa</t>
  </si>
  <si>
    <t>UTE CEVASA</t>
  </si>
  <si>
    <t>Cevasa</t>
  </si>
  <si>
    <t>UTE VISTA ALEGRE - ELEKTRO</t>
  </si>
  <si>
    <t>Vista Alegre</t>
  </si>
  <si>
    <t>BARREIRO</t>
  </si>
  <si>
    <t>Barreiro</t>
  </si>
  <si>
    <t>CAMPO FLORIDO</t>
  </si>
  <si>
    <t>Campo Florido</t>
  </si>
  <si>
    <t>CORURIPE ITURAMA</t>
  </si>
  <si>
    <t>Coruripe Iturama</t>
  </si>
  <si>
    <t>Pirauá</t>
  </si>
  <si>
    <t>SIMASA</t>
  </si>
  <si>
    <t>Simasa</t>
  </si>
  <si>
    <t>BRAGA</t>
  </si>
  <si>
    <t>Braga</t>
  </si>
  <si>
    <t>Caucaia</t>
  </si>
  <si>
    <t>Baturité</t>
  </si>
  <si>
    <t>Crato</t>
  </si>
  <si>
    <t>Aracati</t>
  </si>
  <si>
    <t>Iguatu</t>
  </si>
  <si>
    <t>Enguia Pecém</t>
  </si>
  <si>
    <t>Juazeiro do Norte</t>
  </si>
  <si>
    <t>MARAMBAIA</t>
  </si>
  <si>
    <t>Marambaia</t>
  </si>
  <si>
    <t>NAZÁRIA</t>
  </si>
  <si>
    <t>Nazária</t>
  </si>
  <si>
    <t>CAMPO MAIOR</t>
  </si>
  <si>
    <t>Campo Maior</t>
  </si>
  <si>
    <t>ALTOS</t>
  </si>
  <si>
    <t>Altos</t>
  </si>
  <si>
    <t>Itaenga</t>
  </si>
  <si>
    <t>VOLTA GRANDE</t>
  </si>
  <si>
    <t>Volta Grande</t>
  </si>
  <si>
    <t>PCH MOSQUITAO</t>
  </si>
  <si>
    <t>Mosquitão</t>
  </si>
  <si>
    <t>MARITUBA</t>
  </si>
  <si>
    <t>Marituba</t>
  </si>
  <si>
    <t>SERRA GRANDE</t>
  </si>
  <si>
    <t>Serra Grande</t>
  </si>
  <si>
    <t>Cucaú</t>
  </si>
  <si>
    <t>UHE MONJOLINHO</t>
  </si>
  <si>
    <t>UHE SALTO PILAO</t>
  </si>
  <si>
    <t>Salto Pilão</t>
  </si>
  <si>
    <t>PONTE QUEIMADA - USINA I</t>
  </si>
  <si>
    <t>Ponte Queimada - Usina I</t>
  </si>
  <si>
    <t>Ponte Queimada - Usina II</t>
  </si>
  <si>
    <t>Energia Limpa Participações Ltda</t>
  </si>
  <si>
    <t>LINHA GRANJA VELHA</t>
  </si>
  <si>
    <t>Linha Granja Velha</t>
  </si>
  <si>
    <t>ALVORADA</t>
  </si>
  <si>
    <t>Alvorada</t>
  </si>
  <si>
    <t>LAGINHA-MATRIX</t>
  </si>
  <si>
    <t>Laginha-Matrix</t>
  </si>
  <si>
    <t>Petrolina</t>
  </si>
  <si>
    <t>SALTO DO LOBO</t>
  </si>
  <si>
    <t>Salto do Lobo</t>
  </si>
  <si>
    <t>UTE PIE RP</t>
  </si>
  <si>
    <t>PIE-RP</t>
  </si>
  <si>
    <t>UTE REGAP</t>
  </si>
  <si>
    <t>CAAL</t>
  </si>
  <si>
    <t>Baía Formosa</t>
  </si>
  <si>
    <t>PCH MATA VELHA</t>
  </si>
  <si>
    <t>MATA VELHA</t>
  </si>
  <si>
    <t>UTE DAIA (ANAPOLIS)</t>
  </si>
  <si>
    <t>Daia</t>
  </si>
  <si>
    <t>Bahia I</t>
  </si>
  <si>
    <t>Bahia I - Camaçari</t>
  </si>
  <si>
    <t>Bruno Heidrich Neto</t>
  </si>
  <si>
    <t>Bruno Heidrich Neto (Ex-Cachoeira do Rio do Rauen)</t>
  </si>
  <si>
    <t>UTE LWARCEL</t>
  </si>
  <si>
    <t>Lwarcel Celulose Ltda</t>
  </si>
  <si>
    <t>Foz do Rio Choró</t>
  </si>
  <si>
    <t>Salto do Timbó</t>
  </si>
  <si>
    <t>UTE SAO JOAO BIOGAS</t>
  </si>
  <si>
    <t>São João Biogás</t>
  </si>
  <si>
    <t>Trapiche</t>
  </si>
  <si>
    <t>Lagoa do Mato</t>
  </si>
  <si>
    <t>PCH SALTO TRÊS DE MAIO</t>
  </si>
  <si>
    <t>Salto Três de Maio</t>
  </si>
  <si>
    <t>UTE XAVANTES (ARUANA)</t>
  </si>
  <si>
    <t>Xavantes Aruanã</t>
  </si>
  <si>
    <t>Potiguar</t>
  </si>
  <si>
    <t>Estivas</t>
  </si>
  <si>
    <t>PCH PAIOL</t>
  </si>
  <si>
    <t>Paiol</t>
  </si>
  <si>
    <t>PCH SALTO BURITI</t>
  </si>
  <si>
    <t>Salto Buriti</t>
  </si>
  <si>
    <t>PCH SALTO CURUA</t>
  </si>
  <si>
    <t>Salto Curuá</t>
  </si>
  <si>
    <t>PCH UNAI BAIXO</t>
  </si>
  <si>
    <t>Unaí Baixo Energética S.A.</t>
  </si>
  <si>
    <t>Parque Eólico do Horizonte</t>
  </si>
  <si>
    <t>Erna Heidrich</t>
  </si>
  <si>
    <t>CARLOS BEVILÁCQUA</t>
  </si>
  <si>
    <t>Carlos Bevilácqua</t>
  </si>
  <si>
    <t>MOINHO</t>
  </si>
  <si>
    <t>Moinho</t>
  </si>
  <si>
    <t>União e Indústria</t>
  </si>
  <si>
    <t>Agrovale</t>
  </si>
  <si>
    <t>Eólica Paracuru</t>
  </si>
  <si>
    <t>Ipojuca</t>
  </si>
  <si>
    <t>JITITUBA SANTO ANTÔNIO</t>
  </si>
  <si>
    <t>Jitituba Santo Antônio</t>
  </si>
  <si>
    <t>ELEBRÁS</t>
  </si>
  <si>
    <t>Parque Eólico Elebrás Cidreira 1</t>
  </si>
  <si>
    <t>Jararaca</t>
  </si>
  <si>
    <t>Cajuru</t>
  </si>
  <si>
    <t>Eólica Praias de Parajuru</t>
  </si>
  <si>
    <t>Da Ilha</t>
  </si>
  <si>
    <t>Gargaú</t>
  </si>
  <si>
    <t>PEDRA DO SAL</t>
  </si>
  <si>
    <t>Pedra do Sal</t>
  </si>
  <si>
    <t>PCH ANHANGUERA</t>
  </si>
  <si>
    <t>Anhanguera</t>
  </si>
  <si>
    <t>PCH SENHORA DO PORTO</t>
  </si>
  <si>
    <t>GUANHÃES ENERGIA S.A.</t>
  </si>
  <si>
    <t>PCH PLANALTO</t>
  </si>
  <si>
    <t>Planalto</t>
  </si>
  <si>
    <t>PCH RETIRO</t>
  </si>
  <si>
    <t>DEB PEQUENAS CENTRAIS HIDRELÉTRICAS LTDA</t>
  </si>
  <si>
    <t>CARAGUATÁ</t>
  </si>
  <si>
    <t>Caraguatá</t>
  </si>
  <si>
    <t>TOLEDO</t>
  </si>
  <si>
    <t>Toledo</t>
  </si>
  <si>
    <t>UTE COGERACAO LAGES</t>
  </si>
  <si>
    <t>Alto Irani</t>
  </si>
  <si>
    <t>PCH JACARE</t>
  </si>
  <si>
    <t>SINIMBU</t>
  </si>
  <si>
    <t>Sinimbu</t>
  </si>
  <si>
    <t>PCH SANTA FE</t>
  </si>
  <si>
    <t>Santa Fé I</t>
  </si>
  <si>
    <t>PCH BURITI</t>
  </si>
  <si>
    <t>Buriti</t>
  </si>
  <si>
    <t>Plano Alto</t>
  </si>
  <si>
    <t>Arvoredo</t>
  </si>
  <si>
    <t>UHE SAO DOMINGOS</t>
  </si>
  <si>
    <t>PCH RETIRO VELHO</t>
  </si>
  <si>
    <t>Retiro Velho</t>
  </si>
  <si>
    <t>PCH BRACO NORTE IV</t>
  </si>
  <si>
    <t>Braço Norte IV</t>
  </si>
  <si>
    <t>FAXINAL II</t>
  </si>
  <si>
    <t>Faxinal II</t>
  </si>
  <si>
    <t>PCH DORES DE GANHAES</t>
  </si>
  <si>
    <t>DORES DE GANHAES</t>
  </si>
  <si>
    <t>PCH NOVO HORIZONTE</t>
  </si>
  <si>
    <t>Novo Horizonte</t>
  </si>
  <si>
    <t>Cristalino</t>
  </si>
  <si>
    <t>Eólica Água Doce</t>
  </si>
  <si>
    <t>PCH SACRE II</t>
  </si>
  <si>
    <t>Sacre 2</t>
  </si>
  <si>
    <t>Tudelândia</t>
  </si>
  <si>
    <t>PCH PALMEIRAS</t>
  </si>
  <si>
    <t>PCH LUDESA</t>
  </si>
  <si>
    <t>Ludesa</t>
  </si>
  <si>
    <t>PCH ALTO BENEDITO NOVO I</t>
  </si>
  <si>
    <t>Alto Benedito Novo I</t>
  </si>
  <si>
    <t>Goiandira</t>
  </si>
  <si>
    <t>Pirapetinga</t>
  </si>
  <si>
    <t>Pedra do Garrafão</t>
  </si>
  <si>
    <t>PCH SAO TADEU</t>
  </si>
  <si>
    <t>São Tadeu I</t>
  </si>
  <si>
    <t>PIEDADE</t>
  </si>
  <si>
    <t>Piedade</t>
  </si>
  <si>
    <t>PCH ALTO SUCURIU</t>
  </si>
  <si>
    <t>Alto Sucuriú</t>
  </si>
  <si>
    <t>PCH PARECIS</t>
  </si>
  <si>
    <t>Parecis</t>
  </si>
  <si>
    <t>PCH TELEGRAFICA</t>
  </si>
  <si>
    <t>Telegráfica</t>
  </si>
  <si>
    <t>PCH SAPEZAL</t>
  </si>
  <si>
    <t>Sapezal</t>
  </si>
  <si>
    <t>PCH SEGREDO</t>
  </si>
  <si>
    <t>SEGREDO ENERGIA S.A.</t>
  </si>
  <si>
    <t>PCH JOSE FERNANDO</t>
  </si>
  <si>
    <t>São Lourenço (Antiga Zé Fernando)</t>
  </si>
  <si>
    <t>Mambaí II</t>
  </si>
  <si>
    <t>Faxinal dos Guedes</t>
  </si>
  <si>
    <t>Salto das Flores</t>
  </si>
  <si>
    <t>PCH PARANATINGA II</t>
  </si>
  <si>
    <t>Paranatinga Energia</t>
  </si>
  <si>
    <t>Paranatinga I</t>
  </si>
  <si>
    <t>Jataí</t>
  </si>
  <si>
    <t>PCH ILHA COMPRIDA</t>
  </si>
  <si>
    <t>Ilha Comprida</t>
  </si>
  <si>
    <t>PCH CIDEZAL</t>
  </si>
  <si>
    <t>Cidezal</t>
  </si>
  <si>
    <t>Sucupira</t>
  </si>
  <si>
    <t>Pequi</t>
  </si>
  <si>
    <t>PCH PRIMAVERA</t>
  </si>
  <si>
    <t>PCH MUCURI</t>
  </si>
  <si>
    <t>Mucuri Energética S.A.</t>
  </si>
  <si>
    <t>SANTA ROSA</t>
  </si>
  <si>
    <t>PCH JOSE GELASIO</t>
  </si>
  <si>
    <t>Engº José Gelásio da Rocha</t>
  </si>
  <si>
    <t>Fundão I</t>
  </si>
  <si>
    <t>PCH RONDONOPOLIS</t>
  </si>
  <si>
    <t>Rondonópolis</t>
  </si>
  <si>
    <t>Santa Clara I</t>
  </si>
  <si>
    <t>Flor do Sertão</t>
  </si>
  <si>
    <t>PCH SETE QUEDAS</t>
  </si>
  <si>
    <t>Sete Quedas Alta</t>
  </si>
  <si>
    <t>EOL PALMARES</t>
  </si>
  <si>
    <t>Parque Eólico de Palmares</t>
  </si>
  <si>
    <t>Taíba Albatroz</t>
  </si>
  <si>
    <t>Pitangueiras</t>
  </si>
  <si>
    <t>Noidore</t>
  </si>
  <si>
    <t>VIENA</t>
  </si>
  <si>
    <t>Viena</t>
  </si>
  <si>
    <t>PCH GARGANTA JARARACA</t>
  </si>
  <si>
    <t>Garganta da Jararaca</t>
  </si>
  <si>
    <t>ITAGUAÇU</t>
  </si>
  <si>
    <t>Itaguaçu</t>
  </si>
  <si>
    <t>Salto Donner I</t>
  </si>
  <si>
    <t>Santa Teresa</t>
  </si>
  <si>
    <t>Dona Mirian</t>
  </si>
  <si>
    <t>GIASA II</t>
  </si>
  <si>
    <t>Giasa II</t>
  </si>
  <si>
    <t>Marco Baldo</t>
  </si>
  <si>
    <t>PCH OURO</t>
  </si>
  <si>
    <t>Ouro</t>
  </si>
  <si>
    <t>TOCA DO TIGRE</t>
  </si>
  <si>
    <t>Toca do Tigre</t>
  </si>
  <si>
    <t>Santana I</t>
  </si>
  <si>
    <t>UTE SAO JOSE COLINA</t>
  </si>
  <si>
    <t>São José Colina</t>
  </si>
  <si>
    <t>PCH SAO PEDRO</t>
  </si>
  <si>
    <t>PCH PORTO DAS PEDRAS</t>
  </si>
  <si>
    <t>Porto das Pedras</t>
  </si>
  <si>
    <t>PCH SANTA GABRIELA</t>
  </si>
  <si>
    <t>Santa Gabriela</t>
  </si>
  <si>
    <t>PCH COLINO 2 - BA</t>
  </si>
  <si>
    <t>Colino 2</t>
  </si>
  <si>
    <t>PCH CACHOEIRA DA LIXA - BA</t>
  </si>
  <si>
    <t>Cachoeira da Lixa</t>
  </si>
  <si>
    <t>Palanquinho</t>
  </si>
  <si>
    <t>Criúva</t>
  </si>
  <si>
    <t>PCH COLINO 1 - BA</t>
  </si>
  <si>
    <t>Colino 1</t>
  </si>
  <si>
    <t>Xavante</t>
  </si>
  <si>
    <t>Mandacaru</t>
  </si>
  <si>
    <t>Santa Maria</t>
  </si>
  <si>
    <t>NILO BONFANTE (ANTIGA CASCATA DO BURICÁ)</t>
  </si>
  <si>
    <t>Nilo Bonfante (Antiga Cascata do Buricá)</t>
  </si>
  <si>
    <t>MILLENNIUM</t>
  </si>
  <si>
    <t>Millennium</t>
  </si>
  <si>
    <t>PCH DIVISA</t>
  </si>
  <si>
    <t>Divisa</t>
  </si>
  <si>
    <t>Ibirama</t>
  </si>
  <si>
    <t>EOL PULPITO</t>
  </si>
  <si>
    <t>Púlpito</t>
  </si>
  <si>
    <t>EOL AQUIBATÃ</t>
  </si>
  <si>
    <t>Aquibatã</t>
  </si>
  <si>
    <t>EOL SANTO ANTONIO</t>
  </si>
  <si>
    <t>EOL CASCATA</t>
  </si>
  <si>
    <t>Cascata</t>
  </si>
  <si>
    <t>EOL RIO DO OURO</t>
  </si>
  <si>
    <t>Rio do Ouro</t>
  </si>
  <si>
    <t>EOL SALTO</t>
  </si>
  <si>
    <t>PCH LAGOA GRANDE - TO</t>
  </si>
  <si>
    <t>Lagoa Grande</t>
  </si>
  <si>
    <t>PCH RIACHO PRETO - TO</t>
  </si>
  <si>
    <t>Riacho Preto</t>
  </si>
  <si>
    <t>PCH PORTO FRANCO - TO</t>
  </si>
  <si>
    <t>Porto Franco</t>
  </si>
  <si>
    <t>PCH BOA SORTE - TO</t>
  </si>
  <si>
    <t>Boa Sorte</t>
  </si>
  <si>
    <t>EOL BOM JARDIM</t>
  </si>
  <si>
    <t>Bom Jardim</t>
  </si>
  <si>
    <t>PCH BOA FÉ</t>
  </si>
  <si>
    <t>Boa Fé</t>
  </si>
  <si>
    <t>EOL CAMPO BELO</t>
  </si>
  <si>
    <t>Campo Belo</t>
  </si>
  <si>
    <t>PCH SÃO PAULO</t>
  </si>
  <si>
    <t>São Paulo</t>
  </si>
  <si>
    <t>EOL AMPARO</t>
  </si>
  <si>
    <t>Amparo</t>
  </si>
  <si>
    <t>EOL CRUZ ALTA</t>
  </si>
  <si>
    <t>Cruz Alta</t>
  </si>
  <si>
    <t>PCH AUTÓDROMO</t>
  </si>
  <si>
    <t>Autódromo</t>
  </si>
  <si>
    <t>PCH VICTOR BAPTISTA ADAMI</t>
  </si>
  <si>
    <t>Victor Baptista Adami (Antiga Passos Maia)</t>
  </si>
  <si>
    <t>VITÓRIA</t>
  </si>
  <si>
    <t>Vitória</t>
  </si>
  <si>
    <t>Rio São Marcos</t>
  </si>
  <si>
    <t>MATARACA</t>
  </si>
  <si>
    <t>Mataraca</t>
  </si>
  <si>
    <t>Comendador Venâncio</t>
  </si>
  <si>
    <t>ALHANDRA</t>
  </si>
  <si>
    <t>Alhandra</t>
  </si>
  <si>
    <t>PCH LAVRINHAS</t>
  </si>
  <si>
    <t>Lavrinhas</t>
  </si>
  <si>
    <t>PCH QUELUZ</t>
  </si>
  <si>
    <t>Queluz</t>
  </si>
  <si>
    <t>UTE SANTO ANGELO</t>
  </si>
  <si>
    <t>SANTO ANGELO</t>
  </si>
  <si>
    <t>PONTAL DO PRATA</t>
  </si>
  <si>
    <t>Pontal do Prata</t>
  </si>
  <si>
    <t>PCH SANTO ANTÔNIO DO CAIAPÓ</t>
  </si>
  <si>
    <t>Santo Antônio do Caiapó</t>
  </si>
  <si>
    <t>Roncador</t>
  </si>
  <si>
    <t>SÃO MAURÍCIO</t>
  </si>
  <si>
    <t>São Maurício</t>
  </si>
  <si>
    <t>UTE CANAA</t>
  </si>
  <si>
    <t>Canaã</t>
  </si>
  <si>
    <t>PCH NOVA FATIMA</t>
  </si>
  <si>
    <t>Nova Fátima</t>
  </si>
  <si>
    <t>PCH RIO FORTUNA</t>
  </si>
  <si>
    <t>Rio Fortuna</t>
  </si>
  <si>
    <t>BARRA DO RIO CHAPÉU</t>
  </si>
  <si>
    <t>Barra do Rio Chapéu</t>
  </si>
  <si>
    <t>UTE USACIGA</t>
  </si>
  <si>
    <t>Usaciga</t>
  </si>
  <si>
    <t>PCH FIGUEIRÓPOLIS</t>
  </si>
  <si>
    <t>Figueirópolis</t>
  </si>
  <si>
    <t>Alegrete</t>
  </si>
  <si>
    <t>GEEA Alegrete</t>
  </si>
  <si>
    <t>Alcon</t>
  </si>
  <si>
    <t>Iolando Leite</t>
  </si>
  <si>
    <t>Mestre</t>
  </si>
  <si>
    <t>Rodeio Bonito</t>
  </si>
  <si>
    <t>CORURIPE</t>
  </si>
  <si>
    <t>Coruripe</t>
  </si>
  <si>
    <t>Coronel Araújo</t>
  </si>
  <si>
    <t>Contestado</t>
  </si>
  <si>
    <t>PCH BOCAIÚVA</t>
  </si>
  <si>
    <t>Bocaiúva</t>
  </si>
  <si>
    <t>Pamesa</t>
  </si>
  <si>
    <t>UTE ELDORADO</t>
  </si>
  <si>
    <t>ABÍLIO BORNIA</t>
  </si>
  <si>
    <t>Abílio Bornia</t>
  </si>
  <si>
    <t>COCAMAR MARINGÁ</t>
  </si>
  <si>
    <t>Cocamar Maringá</t>
  </si>
  <si>
    <t>FARTURA</t>
  </si>
  <si>
    <t>Fartura</t>
  </si>
  <si>
    <t>CAA-YARI</t>
  </si>
  <si>
    <t>Caa-Yari</t>
  </si>
  <si>
    <t>CAJU</t>
  </si>
  <si>
    <t>Caju</t>
  </si>
  <si>
    <t>POÇÕES</t>
  </si>
  <si>
    <t>Poções</t>
  </si>
  <si>
    <t>DIVINÓPOLIS</t>
  </si>
  <si>
    <t>Divinópolis</t>
  </si>
  <si>
    <t>VETORIAL</t>
  </si>
  <si>
    <t>Vetorial</t>
  </si>
  <si>
    <t>UTE RONDON II</t>
  </si>
  <si>
    <t>PCH JORGE DREHER</t>
  </si>
  <si>
    <t>Engenheiro Ernesto Jorge Dreher</t>
  </si>
  <si>
    <t>PCH HENRIQUE KOTZIAN</t>
  </si>
  <si>
    <t>Engenheiro Henrique Kotzian</t>
  </si>
  <si>
    <t>UTE QUIRINOPOLIS - CELG</t>
  </si>
  <si>
    <t>Quirinópolis</t>
  </si>
  <si>
    <t>UTE VERTENTE</t>
  </si>
  <si>
    <t>Vertente</t>
  </si>
  <si>
    <t>UTE SOL</t>
  </si>
  <si>
    <t>Sol</t>
  </si>
  <si>
    <t>FRUTAL</t>
  </si>
  <si>
    <t>Frutal</t>
  </si>
  <si>
    <t>Ouroeste</t>
  </si>
  <si>
    <t>Jacaré Pepira</t>
  </si>
  <si>
    <t>RIO BONITO II</t>
  </si>
  <si>
    <t>Rio Bonito II</t>
  </si>
  <si>
    <t>LONTRAS</t>
  </si>
  <si>
    <t>Lontras</t>
  </si>
  <si>
    <t>ECO VIDA CAJURU</t>
  </si>
  <si>
    <t>Eco Vida Cajuru</t>
  </si>
  <si>
    <t>PCH JOÃO BORGES</t>
  </si>
  <si>
    <t>João Borges</t>
  </si>
  <si>
    <t>BRUNO HEIDRICH</t>
  </si>
  <si>
    <t>Bruno Heidrich</t>
  </si>
  <si>
    <t>PQU</t>
  </si>
  <si>
    <t>PCH TERRA SANTA</t>
  </si>
  <si>
    <t>Graça Brennand (Antiga Terra Santa)</t>
  </si>
  <si>
    <t>PCH RIO DO PEIXE</t>
  </si>
  <si>
    <t>Rio do Peixe</t>
  </si>
  <si>
    <t>PCH PAMPEANA</t>
  </si>
  <si>
    <t>Pampeana</t>
  </si>
  <si>
    <t>RIO PALMEIRAS II</t>
  </si>
  <si>
    <t>Rio Palmeiras II</t>
  </si>
  <si>
    <t>Pedrosa</t>
  </si>
  <si>
    <t>RIO CHAPÉU</t>
  </si>
  <si>
    <t>Rio Chapéu</t>
  </si>
  <si>
    <t>SANTA IZABEL</t>
  </si>
  <si>
    <t>Santa Izabel</t>
  </si>
  <si>
    <t>UHE BATALHA</t>
  </si>
  <si>
    <t>Furnas Centrais Elétricas S/A</t>
  </si>
  <si>
    <t>PASSO SÃO JOÃO</t>
  </si>
  <si>
    <t>Passo São João</t>
  </si>
  <si>
    <t>UHE RETIRO BAIXO</t>
  </si>
  <si>
    <t>Retiro Baixo</t>
  </si>
  <si>
    <t>UHE SIMPLICIO</t>
  </si>
  <si>
    <t>Simplício</t>
  </si>
  <si>
    <t>UTE INTERLAGOS</t>
  </si>
  <si>
    <t>Interlagos</t>
  </si>
  <si>
    <t>SIDERPITA</t>
  </si>
  <si>
    <t>Siderpita</t>
  </si>
  <si>
    <t>Albano Machado</t>
  </si>
  <si>
    <t>GALHEIROS</t>
  </si>
  <si>
    <t>Galheiros</t>
  </si>
  <si>
    <t>CEM (ANTIGA CAMEN)</t>
  </si>
  <si>
    <t>CEM (Antiga Camen)</t>
  </si>
  <si>
    <t>CASCATA DO BARREIRO</t>
  </si>
  <si>
    <t>Cascata do Barreiro</t>
  </si>
  <si>
    <t>Potiguar III</t>
  </si>
  <si>
    <t>Barra Escondida</t>
  </si>
  <si>
    <t>CITROVITA CATANDUVA</t>
  </si>
  <si>
    <t>Citrovita Catanduva</t>
  </si>
  <si>
    <t>UTE SANTO INÁCIO</t>
  </si>
  <si>
    <t>Unidade Santo Inácio - USI</t>
  </si>
  <si>
    <t>São Borja</t>
  </si>
  <si>
    <t>Cogeradora Biancogrês</t>
  </si>
  <si>
    <t>UTE BOA VISTA - CELG</t>
  </si>
  <si>
    <t>Boa Vista</t>
  </si>
  <si>
    <t>Wasser Kraft</t>
  </si>
  <si>
    <t>Índio Condá</t>
  </si>
  <si>
    <t>Detofol</t>
  </si>
  <si>
    <t>CARNEIRINHO</t>
  </si>
  <si>
    <t>Carneirinho</t>
  </si>
  <si>
    <t>UTE SYKUÉ I</t>
  </si>
  <si>
    <t>Sykué I</t>
  </si>
  <si>
    <t>IACANGA</t>
  </si>
  <si>
    <t>Iacanga</t>
  </si>
  <si>
    <t>UTE PIONEIROS II</t>
  </si>
  <si>
    <t>Pioneiros II</t>
  </si>
  <si>
    <t>UTE AGRENCO - MS</t>
  </si>
  <si>
    <t>Unidade de Geração de Energia Elétrica - Agrenco - Mato Grosso do Sul</t>
  </si>
  <si>
    <t>PCH MALAGONE</t>
  </si>
  <si>
    <t>Malagone</t>
  </si>
  <si>
    <t>UTE AGRENCO - MT</t>
  </si>
  <si>
    <t>Unidade de Geração de Energia Elétrica - Agrenco - Mato Grosso</t>
  </si>
  <si>
    <t>PCH SANTA LUZIA ALTO</t>
  </si>
  <si>
    <t>Santa Luzia Alto</t>
  </si>
  <si>
    <t>GLOBAL I</t>
  </si>
  <si>
    <t>Global I</t>
  </si>
  <si>
    <t>UTE POTIRENDABA</t>
  </si>
  <si>
    <t>Potirendaba (Antiga Cerradinho Potirendaba)</t>
  </si>
  <si>
    <t>UTE BONFIM</t>
  </si>
  <si>
    <t>Usina Bonfim</t>
  </si>
  <si>
    <t>Pedra Furada</t>
  </si>
  <si>
    <t>UTE ANGELICA</t>
  </si>
  <si>
    <t>Angélica</t>
  </si>
  <si>
    <t>São José do Pinheiro</t>
  </si>
  <si>
    <t>USINA MONTE ALEGRE</t>
  </si>
  <si>
    <t>Usina Monte Alegre</t>
  </si>
  <si>
    <t>Gravatá</t>
  </si>
  <si>
    <t>UTE VCP-MS</t>
  </si>
  <si>
    <t>VCP-MS</t>
  </si>
  <si>
    <t>Preformax</t>
  </si>
  <si>
    <t>Juliana I</t>
  </si>
  <si>
    <t>CORURIPE ENERGÉTICA - FILIAL CAMPO FLORIDO</t>
  </si>
  <si>
    <t>Coruripe Energética - Filial Campo Florido</t>
  </si>
  <si>
    <t>UTE CERRADAO</t>
  </si>
  <si>
    <t>CERRADAO</t>
  </si>
  <si>
    <t>SÃO VALENTIM</t>
  </si>
  <si>
    <t>São Valentim</t>
  </si>
  <si>
    <t>Aguti</t>
  </si>
  <si>
    <t>UTE COCAL II</t>
  </si>
  <si>
    <t>Cocal II</t>
  </si>
  <si>
    <t>Galópolis</t>
  </si>
  <si>
    <t>Pirapama</t>
  </si>
  <si>
    <t>UTE LDC BIOENERGIA LAGOA DA PRATA</t>
  </si>
  <si>
    <t>LDC Bioenergia Lagoa da Prata (Antiga Louis Dreyfus Lagoa da Prata)</t>
  </si>
  <si>
    <t>UTE LDC BIONERGIA RIO BRILHANTE</t>
  </si>
  <si>
    <t>LDC Bioenergia Rio Brilhante (Antiga Louis Dreyfus Rio Brilhante)</t>
  </si>
  <si>
    <t>PCH PIRAPORA</t>
  </si>
  <si>
    <t>Pirapora</t>
  </si>
  <si>
    <t>GUSA NORDESTE</t>
  </si>
  <si>
    <t>Gusa Nordeste</t>
  </si>
  <si>
    <t>CACHOEIRA DO BRUMADO</t>
  </si>
  <si>
    <t>Cachoeira do Brumado</t>
  </si>
  <si>
    <t>PCH MOINHO</t>
  </si>
  <si>
    <t>São Sebastião do Alto</t>
  </si>
  <si>
    <t>Rio Vermelho</t>
  </si>
  <si>
    <t>UTE ENERGY GREEN</t>
  </si>
  <si>
    <t>Energy Green</t>
  </si>
  <si>
    <t>Rio Itaiozinho</t>
  </si>
  <si>
    <t>UTE SAO JUDAS TADEU</t>
  </si>
  <si>
    <t>São Judas Tadeu</t>
  </si>
  <si>
    <t>PCH BARRA CLARA</t>
  </si>
  <si>
    <t>Barra Clara</t>
  </si>
  <si>
    <t>UTE EQUIPAV II</t>
  </si>
  <si>
    <t>Equipav II</t>
  </si>
  <si>
    <t>SANTA MARIA</t>
  </si>
  <si>
    <t>PCH COQUEIRAL</t>
  </si>
  <si>
    <t>Coqueiral</t>
  </si>
  <si>
    <t>COMVAP</t>
  </si>
  <si>
    <t>Comvap</t>
  </si>
  <si>
    <t>UTE DA MATA</t>
  </si>
  <si>
    <t>Da Mata</t>
  </si>
  <si>
    <t>UTE NOROESTE PAULISTA</t>
  </si>
  <si>
    <t>Noroeste Paulista</t>
  </si>
  <si>
    <t>PCH SANTA ANA</t>
  </si>
  <si>
    <t>Santa Ana</t>
  </si>
  <si>
    <t>Usaçúcar - Terra Rica</t>
  </si>
  <si>
    <t>Curt Lindner</t>
  </si>
  <si>
    <t>Buritirana</t>
  </si>
  <si>
    <t>Camaquã</t>
  </si>
  <si>
    <t>Camil Alimentos - Camaquã</t>
  </si>
  <si>
    <t>Heringer</t>
  </si>
  <si>
    <t>Unidade Industrial de Aves</t>
  </si>
  <si>
    <t>Unidade Industrial de Vegetais</t>
  </si>
  <si>
    <t>ETE Ouro Verde</t>
  </si>
  <si>
    <t>Star Milk</t>
  </si>
  <si>
    <t>UTE MONTEVERDE</t>
  </si>
  <si>
    <t>Monteverde</t>
  </si>
  <si>
    <t>ALTEROSA</t>
  </si>
  <si>
    <t>Alterosa</t>
  </si>
  <si>
    <t>Berneck</t>
  </si>
  <si>
    <t>UTE VISTA ALEGRE - ENERSUL</t>
  </si>
  <si>
    <t>Energética Vista Alegre</t>
  </si>
  <si>
    <t>Braço</t>
  </si>
  <si>
    <t>UTE NOBLE ENERGIA</t>
  </si>
  <si>
    <t>Noble Energia</t>
  </si>
  <si>
    <t>UTE CONQUISTA DO PONTAL</t>
  </si>
  <si>
    <t>Conquista do Pontal</t>
  </si>
  <si>
    <t>UTE GUAÍRA - SP</t>
  </si>
  <si>
    <t>Guaíra Energética</t>
  </si>
  <si>
    <t>UTE CACHOEIRA DOURADA</t>
  </si>
  <si>
    <t>USJ Bioenergia Ltda.</t>
  </si>
  <si>
    <t>UTE VALE DO TIJUCO I</t>
  </si>
  <si>
    <t>Vale do Tijuco</t>
  </si>
  <si>
    <t>UTE CLEALCO</t>
  </si>
  <si>
    <t>Clealco Açúcar e Álcool S/A</t>
  </si>
  <si>
    <t>UTE CHAPADAO - SP</t>
  </si>
  <si>
    <t>REVATI Geradora de Energia Elétrica LTDA</t>
  </si>
  <si>
    <t>Esperança</t>
  </si>
  <si>
    <t>UTE SÃO FERNANDO</t>
  </si>
  <si>
    <t>São Fernando Açúcar e Álcool</t>
  </si>
  <si>
    <t>UTE VALE DO SAO SIMAO</t>
  </si>
  <si>
    <t>Vale do São Simão</t>
  </si>
  <si>
    <t>UTE BARRA</t>
  </si>
  <si>
    <t>Barra Bioenergia</t>
  </si>
  <si>
    <t>BEN BIOENERGIA</t>
  </si>
  <si>
    <t>BEN Bioenergia</t>
  </si>
  <si>
    <t>ENERGIA MAIA</t>
  </si>
  <si>
    <t>Energia Maia</t>
  </si>
  <si>
    <t>UTE REVATI (BIOPAV)</t>
  </si>
  <si>
    <t>Biopav II</t>
  </si>
  <si>
    <t>UTE LINHARES</t>
  </si>
  <si>
    <t>Linhares</t>
  </si>
  <si>
    <t>RIO DOS ÍNDIOS</t>
  </si>
  <si>
    <t>Rio dos Índios</t>
  </si>
  <si>
    <t>TAUÁ</t>
  </si>
  <si>
    <t>Tauá</t>
  </si>
  <si>
    <t>UTE BEVAP</t>
  </si>
  <si>
    <t>Bioenergética Vale do Paracatu - BEVAP</t>
  </si>
  <si>
    <t>TAMBAÚ</t>
  </si>
  <si>
    <t>Tambaú</t>
  </si>
  <si>
    <t>UTE RIO PARDO</t>
  </si>
  <si>
    <t>Rio Pardo</t>
  </si>
  <si>
    <t>Reinhofer</t>
  </si>
  <si>
    <t>UTE ITUMBIARA (CIBA)</t>
  </si>
  <si>
    <t>Itumbiara</t>
  </si>
  <si>
    <t>Belmonte</t>
  </si>
  <si>
    <t>Prata</t>
  </si>
  <si>
    <t>UTE ITUIUTABA</t>
  </si>
  <si>
    <t>Ituiutaba</t>
  </si>
  <si>
    <t>UTE GUARANI - TANABI</t>
  </si>
  <si>
    <t>GUARANI - TANABI</t>
  </si>
  <si>
    <t>UTE CAARAPÓ</t>
  </si>
  <si>
    <t>Caarapó</t>
  </si>
  <si>
    <t>GUSTAVO PAIVA</t>
  </si>
  <si>
    <t>Gustavo Paiva</t>
  </si>
  <si>
    <t>Aratuá I</t>
  </si>
  <si>
    <t>PARDOS</t>
  </si>
  <si>
    <t>Pardos</t>
  </si>
  <si>
    <t>UTE JBS (BIOLINS ENERGIA)</t>
  </si>
  <si>
    <t>Biolins</t>
  </si>
  <si>
    <t>RIO BONITO</t>
  </si>
  <si>
    <t>OLIVEIRA</t>
  </si>
  <si>
    <t>Oliveira</t>
  </si>
  <si>
    <t>Lambedor</t>
  </si>
  <si>
    <t>SÃO MIGUEL</t>
  </si>
  <si>
    <t>São Miguel</t>
  </si>
  <si>
    <t>BAITACA</t>
  </si>
  <si>
    <t>Baitaca</t>
  </si>
  <si>
    <t>UTE SANTA JULIANA</t>
  </si>
  <si>
    <t>Santa Juliana</t>
  </si>
  <si>
    <t>UTE BALDIN</t>
  </si>
  <si>
    <t>Baldin</t>
  </si>
  <si>
    <t>Pacheco</t>
  </si>
  <si>
    <t>CAMBOATÁ</t>
  </si>
  <si>
    <t>Camboatá</t>
  </si>
  <si>
    <t>Passo Ferraz</t>
  </si>
  <si>
    <t>MARACANÃ</t>
  </si>
  <si>
    <t>Maracanã</t>
  </si>
  <si>
    <t>Santo Expedito</t>
  </si>
  <si>
    <t>ASJA BH</t>
  </si>
  <si>
    <t>Asja BH</t>
  </si>
  <si>
    <t>UTE IPAUSSU BIOENERGIA</t>
  </si>
  <si>
    <t>Ipaussu Bionergia</t>
  </si>
  <si>
    <t>Miranda Estância</t>
  </si>
  <si>
    <t>CACHOEIRINHA BUENO BRANDÃO</t>
  </si>
  <si>
    <t>Cachoeirinha Bueno Brandão</t>
  </si>
  <si>
    <t>ESPRAIADO</t>
  </si>
  <si>
    <t>Espraiado</t>
  </si>
  <si>
    <t>METALSIDER</t>
  </si>
  <si>
    <t>Metalsider</t>
  </si>
  <si>
    <t>UTE UNIVALEM BIOENERGIA</t>
  </si>
  <si>
    <t>Barra Bioenergia S/A</t>
  </si>
  <si>
    <t>Ilha da Luz</t>
  </si>
  <si>
    <t>UTE DVPA</t>
  </si>
  <si>
    <t>DVPA</t>
  </si>
  <si>
    <t>UTE COLOMBO SANTA ALBERTINA</t>
  </si>
  <si>
    <t>Colombo Santa Albertina</t>
  </si>
  <si>
    <t>UTE IPÊ</t>
  </si>
  <si>
    <t>Ipê (Antiga Ceni)</t>
  </si>
  <si>
    <t>UTE NOBLE ENERGIA II</t>
  </si>
  <si>
    <t>Noble Energia II</t>
  </si>
  <si>
    <t>PCH QUEIXADA</t>
  </si>
  <si>
    <t>Queixada</t>
  </si>
  <si>
    <t>EOL MANGUE SECO III</t>
  </si>
  <si>
    <t>Mangue Seco 3</t>
  </si>
  <si>
    <t>EOL MANGUE SECO II</t>
  </si>
  <si>
    <t>Mangue Seco 2</t>
  </si>
  <si>
    <t>EOL MANGUE SECO I</t>
  </si>
  <si>
    <t>Mangue Seco 1</t>
  </si>
  <si>
    <t>RASTRO DE AUTO</t>
  </si>
  <si>
    <t>Rastro de Auto</t>
  </si>
  <si>
    <t>Pedra do Reino</t>
  </si>
  <si>
    <t>EOL MANGUE SECO V</t>
  </si>
  <si>
    <t>Mangue Seco 5</t>
  </si>
  <si>
    <t>Barra dos Coqueiros</t>
  </si>
  <si>
    <t>DUNAS DE PARACURU</t>
  </si>
  <si>
    <t>Dunas de Paracuru</t>
  </si>
  <si>
    <t>UTE MERIDIANO</t>
  </si>
  <si>
    <t>Meridiano</t>
  </si>
  <si>
    <t>PCH GALHEIROS I</t>
  </si>
  <si>
    <t>Galheiros I</t>
  </si>
  <si>
    <t>Bioenergética Aroeira</t>
  </si>
  <si>
    <t>Parque Eólico Cabeço Preto</t>
  </si>
  <si>
    <t>EOL FAZENDA ROSÁRIO 3</t>
  </si>
  <si>
    <t>Fazenda Rosário 3</t>
  </si>
  <si>
    <t>PCH SALTO GOES</t>
  </si>
  <si>
    <t>Salto Góes</t>
  </si>
  <si>
    <t>EOL FAZENDA ROSÁRIO</t>
  </si>
  <si>
    <t>Fazenda Rosário</t>
  </si>
  <si>
    <t>SALTO DONNER II</t>
  </si>
  <si>
    <t>Salto Donner II</t>
  </si>
  <si>
    <t>Codora</t>
  </si>
  <si>
    <t>QUIXABA</t>
  </si>
  <si>
    <t>Quixaba</t>
  </si>
  <si>
    <t>Miassaba II</t>
  </si>
  <si>
    <t>Desidério</t>
  </si>
  <si>
    <t>RONDINHA</t>
  </si>
  <si>
    <t>Rondinha</t>
  </si>
  <si>
    <t>KARL KUHLEMANN</t>
  </si>
  <si>
    <t>Karl Kuhlemann</t>
  </si>
  <si>
    <t>Campo Lindo</t>
  </si>
  <si>
    <t>Granja São Pedro/Colombari</t>
  </si>
  <si>
    <t>FARIAS</t>
  </si>
  <si>
    <t>Farias</t>
  </si>
  <si>
    <t>GARIBALDI</t>
  </si>
  <si>
    <t>Garibaldi</t>
  </si>
  <si>
    <t>CARGILL UBERLÂNDIA</t>
  </si>
  <si>
    <t>Cargill Uberlândia</t>
  </si>
  <si>
    <t>UTE VIRALCOOL CASTILHO</t>
  </si>
  <si>
    <t>VIRALCOOL- AÇUCAR E ÁLCOOL LTDA</t>
  </si>
  <si>
    <t>UTE MOGIANA BIOENERGIA</t>
  </si>
  <si>
    <t>Mogiana Bio-Energia</t>
  </si>
  <si>
    <t>SELECTA</t>
  </si>
  <si>
    <t>Selecta</t>
  </si>
  <si>
    <t>Bela Miragem</t>
  </si>
  <si>
    <t>UTE DA PEDRA</t>
  </si>
  <si>
    <t>Da Pedra</t>
  </si>
  <si>
    <t>MEL 02</t>
  </si>
  <si>
    <t>Mel 02</t>
  </si>
  <si>
    <t>PCH CAVERNOSO II</t>
  </si>
  <si>
    <t>UTE VALE DO TIJUCO II</t>
  </si>
  <si>
    <t>Companhia Energética de Açúcar e Álcool Vale do Tijuco Ltda.</t>
  </si>
  <si>
    <t>EOL FAZENDA ROSARIO 2</t>
  </si>
  <si>
    <t>Parques Eólicos Palmares S.A.</t>
  </si>
  <si>
    <t>UTE SAO FERNANDO I</t>
  </si>
  <si>
    <t>São Fernando Energia I</t>
  </si>
  <si>
    <t>Parque Eólico Cabeço Preto IV</t>
  </si>
  <si>
    <t>FAROL</t>
  </si>
  <si>
    <t>Farol</t>
  </si>
  <si>
    <t>UTE PEDRO AFONSO</t>
  </si>
  <si>
    <t>Pedro Afonso</t>
  </si>
  <si>
    <t>RS-155</t>
  </si>
  <si>
    <t>Poço da Cruz (Antiga Geraldo Fonseca)</t>
  </si>
  <si>
    <t>UTE RIO VERMELHO</t>
  </si>
  <si>
    <t>RIO VERMELHO</t>
  </si>
  <si>
    <t>COSIMA</t>
  </si>
  <si>
    <t>Cosima</t>
  </si>
  <si>
    <t>UTE PARANAPANEMA</t>
  </si>
  <si>
    <t>DALBA</t>
  </si>
  <si>
    <t>Dalba</t>
  </si>
  <si>
    <t>UTE ELDORADO BRASIL</t>
  </si>
  <si>
    <t>ELDORADO PAPEL E CELULOSE S.A.</t>
  </si>
  <si>
    <t>Peróxidos do Brasil</t>
  </si>
  <si>
    <t>PCH ZE TUNIN</t>
  </si>
  <si>
    <t>PCH Zé Tunin</t>
  </si>
  <si>
    <t>Macuco</t>
  </si>
  <si>
    <t>Pedra do Reino III</t>
  </si>
  <si>
    <t>Florestal</t>
  </si>
  <si>
    <t>Primo Energética Ltda.</t>
  </si>
  <si>
    <t>ARIZONA 1</t>
  </si>
  <si>
    <t>Arizona 1</t>
  </si>
  <si>
    <t>Rio Alegre</t>
  </si>
  <si>
    <t>MARGARIDA 2-A</t>
  </si>
  <si>
    <t>Margarida 2-A</t>
  </si>
  <si>
    <t>PCH INXU</t>
  </si>
  <si>
    <t>INXU</t>
  </si>
  <si>
    <t>NOVO COLORADO</t>
  </si>
  <si>
    <t>Novo Colorado</t>
  </si>
  <si>
    <t>Taquari</t>
  </si>
  <si>
    <t>PAULICÉIA</t>
  </si>
  <si>
    <t>Paulicéia</t>
  </si>
  <si>
    <t>ALTO BREJAÚBA</t>
  </si>
  <si>
    <t>Alto Brejaúba</t>
  </si>
  <si>
    <t>PITANGAS</t>
  </si>
  <si>
    <t>Pitangas</t>
  </si>
  <si>
    <t>PCH SANTA CAROLINA</t>
  </si>
  <si>
    <t>Santa Carolina</t>
  </si>
  <si>
    <t>GEO ELÉTRICA TAMBOARA</t>
  </si>
  <si>
    <t>Geo Elétrica Tamboara</t>
  </si>
  <si>
    <t>UBERLÂNDIA</t>
  </si>
  <si>
    <t>Uberlândia</t>
  </si>
  <si>
    <t>PLANTAR</t>
  </si>
  <si>
    <t>Plantar</t>
  </si>
  <si>
    <t>UTE BROTAS</t>
  </si>
  <si>
    <t xml:space="preserve">Cogeração de Energia Elétrica Paraíso S.A </t>
  </si>
  <si>
    <t>Cambará</t>
  </si>
  <si>
    <t>Embaúba</t>
  </si>
  <si>
    <t>EOL CORREDOR DO SENANDES III</t>
  </si>
  <si>
    <t>CORREDOR DO SENANDES III</t>
  </si>
  <si>
    <t>EOL PORTO DAS BARCAS</t>
  </si>
  <si>
    <t>SEAWEST DO BRASIL – PROJETOS E PARTICIPAÇÕES LTDA.</t>
  </si>
  <si>
    <t>EOL PORTO SALGADO</t>
  </si>
  <si>
    <t>ZETA ENERGIA S.A.</t>
  </si>
  <si>
    <t>EOL VENTO ARAGANO I</t>
  </si>
  <si>
    <t>VENTO ARAGANO I</t>
  </si>
  <si>
    <t>EOL DELTA DO PARNAIBA</t>
  </si>
  <si>
    <t>EOL CORREDOR DO SENANDES IV</t>
  </si>
  <si>
    <t>CORREDOR DO SENANDES IV</t>
  </si>
  <si>
    <t>EOL CORREDOR DO SENANDES II</t>
  </si>
  <si>
    <t>CORREDOR DO SENANDES II</t>
  </si>
  <si>
    <t>MIRADOURO</t>
  </si>
  <si>
    <t>Miradouro</t>
  </si>
  <si>
    <t>Granja São Roque</t>
  </si>
  <si>
    <t>UTE ENERVALE</t>
  </si>
  <si>
    <t>Enervale</t>
  </si>
  <si>
    <t>UTE VIRALCOOL 2</t>
  </si>
  <si>
    <t>SÃO JOÃO DE CAIANA</t>
  </si>
  <si>
    <t>São João de Caiana</t>
  </si>
  <si>
    <t>GUAÇU</t>
  </si>
  <si>
    <t>Guaçu</t>
  </si>
  <si>
    <t>LIMEIRA</t>
  </si>
  <si>
    <t>Limeira</t>
  </si>
  <si>
    <t>PCH JARDIM</t>
  </si>
  <si>
    <t>Jardim</t>
  </si>
  <si>
    <t>BOA VISTA CAPEADA</t>
  </si>
  <si>
    <t>Boa Vista Capeada</t>
  </si>
  <si>
    <t>FARIA LEMOS</t>
  </si>
  <si>
    <t>Faria Lemos</t>
  </si>
  <si>
    <t>CETREL BIOENERGIA JB</t>
  </si>
  <si>
    <t>Cetrel Bioenergia JB</t>
  </si>
  <si>
    <t>PCH MORRO GRANDE</t>
  </si>
  <si>
    <t>Morro Grande</t>
  </si>
  <si>
    <t>ANTÔNIO DIAS</t>
  </si>
  <si>
    <t>Antônio Dias</t>
  </si>
  <si>
    <t>Santa Helena</t>
  </si>
  <si>
    <t>BIO ALVORADA</t>
  </si>
  <si>
    <t>Bio Alvorada</t>
  </si>
  <si>
    <t>TANQUINHO</t>
  </si>
  <si>
    <t>Tanquinho</t>
  </si>
  <si>
    <t>LIMOEIRO</t>
  </si>
  <si>
    <t>Limoeiro</t>
  </si>
  <si>
    <t>UTE SAO MARTINHO ENERGIA</t>
  </si>
  <si>
    <t>SAO MARTINHO ENERGIA</t>
  </si>
  <si>
    <t>PARISOTTO</t>
  </si>
  <si>
    <t>Parisotto</t>
  </si>
  <si>
    <t>DIVINO</t>
  </si>
  <si>
    <t>Divino</t>
  </si>
  <si>
    <t>Bração</t>
  </si>
  <si>
    <t>UTE ALTO ALEGRE FLORESTOPOLIS</t>
  </si>
  <si>
    <t>Usina Alto Alegre S.A. Açucar e Alcool</t>
  </si>
  <si>
    <t>UTE UFL</t>
  </si>
  <si>
    <t>UFL</t>
  </si>
  <si>
    <t>Nova Mutum</t>
  </si>
  <si>
    <t>Samburá</t>
  </si>
  <si>
    <t>PCH CESAR FILHO</t>
  </si>
  <si>
    <t>CESAR FILHO</t>
  </si>
  <si>
    <t>PIRAPANEMA</t>
  </si>
  <si>
    <t>Pirapanema</t>
  </si>
  <si>
    <t>MONTE VERDE</t>
  </si>
  <si>
    <t>Monte Verde</t>
  </si>
  <si>
    <t>Anjos</t>
  </si>
  <si>
    <t>GLÓRIA</t>
  </si>
  <si>
    <t>DURANDÉ</t>
  </si>
  <si>
    <t>Durandé</t>
  </si>
  <si>
    <t>UTE RJR</t>
  </si>
  <si>
    <t>RGR</t>
  </si>
  <si>
    <t>UTE FURLAN AVARÉ</t>
  </si>
  <si>
    <t>Furlan Avaré</t>
  </si>
  <si>
    <t>CTR JUIZ DE FORA</t>
  </si>
  <si>
    <t>CTR Juiz de Fora</t>
  </si>
  <si>
    <t>ARROIO TRINTA</t>
  </si>
  <si>
    <t>Arroio Trinta</t>
  </si>
  <si>
    <t>Pardo</t>
  </si>
  <si>
    <t>PEDACINHO DO CÉU</t>
  </si>
  <si>
    <t>Pedacinho do Céu</t>
  </si>
  <si>
    <t>UTE SANTA VITORIA</t>
  </si>
  <si>
    <t>SANTA VITORIA</t>
  </si>
  <si>
    <t>SANTA BÁRBARA</t>
  </si>
  <si>
    <t>Santa Bárbara</t>
  </si>
  <si>
    <t>Posses</t>
  </si>
  <si>
    <t>SIMONÉSIA</t>
  </si>
  <si>
    <t>Simonésia</t>
  </si>
  <si>
    <t>Bambuí</t>
  </si>
  <si>
    <t>NOVA AURORA</t>
  </si>
  <si>
    <t>Nova Aurora</t>
  </si>
  <si>
    <t>UTE TERMOVERDE CAIEIRAS</t>
  </si>
  <si>
    <t>Atos</t>
  </si>
  <si>
    <t>MEGAWATT SOLAR</t>
  </si>
  <si>
    <t>Floresta</t>
  </si>
  <si>
    <t>Central Mineirão</t>
  </si>
  <si>
    <t>UTE RIO VERMELHO 2</t>
  </si>
  <si>
    <t>Cia Alcoolquímica Nacional</t>
  </si>
  <si>
    <t>JAURU (CINCO ESTRELAS)</t>
  </si>
  <si>
    <t>Jauru 5 Estrelas</t>
  </si>
  <si>
    <t>Processo</t>
  </si>
  <si>
    <t>GERAÇÃO</t>
  </si>
  <si>
    <t>TIPO 01</t>
  </si>
  <si>
    <t>TIPO 02</t>
  </si>
  <si>
    <t>INTERMEDIÁRIO</t>
  </si>
  <si>
    <t>CEB-DIS</t>
  </si>
  <si>
    <t>CEEE-D</t>
  </si>
  <si>
    <t>CELESC-DIS</t>
  </si>
  <si>
    <t>CELG-D</t>
  </si>
  <si>
    <t>AES SUL Distribuidora Gaúcha de Energia S/A.</t>
  </si>
  <si>
    <t>Amazonas Distribuidora de Energia S/A</t>
  </si>
  <si>
    <t>Ampla Energia e Serviços S/A</t>
  </si>
  <si>
    <t>Bandeirante Energia S/A.</t>
  </si>
  <si>
    <t>Boa Vista Energia S/A</t>
  </si>
  <si>
    <t>Caiuá Distribuição de Energia S/A</t>
  </si>
  <si>
    <t>Companhia de Eletricidade do Amapá</t>
  </si>
  <si>
    <t>Companhia Energética de Alagoas</t>
  </si>
  <si>
    <t>CEB Distribuição S/A</t>
  </si>
  <si>
    <t>Companhia Estadual de Distribuição de Energia Elétrica</t>
  </si>
  <si>
    <t>Celesc Distribuição S.A.</t>
  </si>
  <si>
    <t>Celg Distribuição S.A.</t>
  </si>
  <si>
    <t>Centrais Elétricas do Pará S/A.</t>
  </si>
  <si>
    <t>Companhia Energética de Pernambuco</t>
  </si>
  <si>
    <t>Companhia de Energia Elétrica do Estado do Tocantins</t>
  </si>
  <si>
    <t>Companhia Energética do Maranhão</t>
  </si>
  <si>
    <t>Energisa Mato Grosso - Distribuidora de Energia S.A.</t>
  </si>
  <si>
    <t>EMT</t>
  </si>
  <si>
    <t>CEMIG Distribuição S/A</t>
  </si>
  <si>
    <t>Companhia Energética do Piauí</t>
  </si>
  <si>
    <t>Centrais Elétricas de Rondõnia S/A.</t>
  </si>
  <si>
    <t>CERR Companhia Energética de Roraima</t>
  </si>
  <si>
    <t>Companhia Força e Luz do Oeste</t>
  </si>
  <si>
    <t>Companhia Hidroelétrica São Patrício</t>
  </si>
  <si>
    <t>Companhia Jaguari de Energia</t>
  </si>
  <si>
    <t>Companhia Luz e Força de Mococa</t>
  </si>
  <si>
    <t>Companhia Luz e Força Santa Cruz</t>
  </si>
  <si>
    <t>Companhia Nacional de Energia Elétrica</t>
  </si>
  <si>
    <t>Companhia Campolarguense de Energia</t>
  </si>
  <si>
    <t>Companhia de Eletricidade do Estado da Bahia</t>
  </si>
  <si>
    <t>Companhia Energética do Ceará</t>
  </si>
  <si>
    <t>Cooperativa Aliança</t>
  </si>
  <si>
    <t>CPFL JAGUARI</t>
  </si>
  <si>
    <t>CPFL MOCOCA</t>
  </si>
  <si>
    <t>CPFL SANTA CRUZ</t>
  </si>
  <si>
    <t>COPEL-DIS</t>
  </si>
  <si>
    <t>Copel Distribuição S/A</t>
  </si>
  <si>
    <t>Companhia Energética do Rio Grande do Norte</t>
  </si>
  <si>
    <t>Companhia Leste Paulista de Energia</t>
  </si>
  <si>
    <t>CPFL LESTE PAULISTA</t>
  </si>
  <si>
    <t>Companhia Piratininga de Força e Luz</t>
  </si>
  <si>
    <t>Companhia Sul Paulista de Energia</t>
  </si>
  <si>
    <t>CPFL SUL PAULISTA</t>
  </si>
  <si>
    <t>Departamento Municipal de Energia de Ijuí</t>
  </si>
  <si>
    <t>DME Distribuição S.A</t>
  </si>
  <si>
    <t>Energisa Borborema – Distribuidora de Energia S.A.</t>
  </si>
  <si>
    <t>Empresa de Distribuição de Energia Vale Paranapanema S.A.</t>
  </si>
  <si>
    <t>Empresa Elétrica Bragantina S/A.</t>
  </si>
  <si>
    <t>Empresa Força e Luz João Cesa Ltda</t>
  </si>
  <si>
    <t>Empresa Força e Luz Urussanga Ltda</t>
  </si>
  <si>
    <t>Elektro Eletricidade e Serviços S/A.</t>
  </si>
  <si>
    <t>Companhia de Eletricidade do Acre</t>
  </si>
  <si>
    <t>Centrais Elétricas de Carazinho S/A.</t>
  </si>
  <si>
    <t>Eletropaulo Metropolitana Eletricidade de São Paulo S/A</t>
  </si>
  <si>
    <t>Empresa Luz e Força Santa Maria S/A.</t>
  </si>
  <si>
    <t>Energisa Minas Gerais - Distribuidora de Energia S.A.</t>
  </si>
  <si>
    <t>Energisa Mato Grosso do Sul- Distribuidora de Energia S.A.</t>
  </si>
  <si>
    <t xml:space="preserve">EMS </t>
  </si>
  <si>
    <t>Energisa Nova Friburgo - Distribuidora de Energia S.A.</t>
  </si>
  <si>
    <t>Energisa Paraíba - Distribuidora de Energia</t>
  </si>
  <si>
    <t>Espírito Santo Centrais Elétricas S/A.</t>
  </si>
  <si>
    <t>Força e Luz Coronel Vivida Ltda</t>
  </si>
  <si>
    <t>Hidroelétrica Panambi S/A.</t>
  </si>
  <si>
    <t>Iguaçu Distribuidora de Energia Elétrica Ltda</t>
  </si>
  <si>
    <t>Light Serviços de Eletricidade S/A.</t>
  </si>
  <si>
    <t>Muxfeldt Marin &amp; Cia. Ltda</t>
  </si>
  <si>
    <t>Rio Grande Energia S/A.</t>
  </si>
  <si>
    <t>Companhia Sul Sergipana de Eletricidade</t>
  </si>
  <si>
    <t>Usina Hidroelétrica Nova Palma Ltda.</t>
  </si>
  <si>
    <t>%</t>
  </si>
  <si>
    <t>TARIFA BRANCA</t>
  </si>
  <si>
    <t>VERSÃO</t>
  </si>
  <si>
    <t>CÁLCULO</t>
  </si>
  <si>
    <t>HP tradicional</t>
  </si>
  <si>
    <t>HP Verão</t>
  </si>
  <si>
    <t>CAPA</t>
  </si>
  <si>
    <t>Ciclo tarifário (anos)</t>
  </si>
  <si>
    <t>RELAÇÃO PFP - TRANSPORTE</t>
  </si>
  <si>
    <t>RPFP - TUSD</t>
  </si>
  <si>
    <t>Última RTP</t>
  </si>
  <si>
    <t>AMOSTRA</t>
  </si>
  <si>
    <t>CUSTO DO PROCESSO</t>
  </si>
  <si>
    <t>POSTOS TARIFÁRIOS</t>
  </si>
  <si>
    <t>Origem: Proporcao de Fluxo_RTP_v1_DISTRIBUIDORA_vDDMMAAAA.xlsx</t>
  </si>
  <si>
    <t>Origem: Relatório e planilhas da Campanha de medidas</t>
  </si>
  <si>
    <t>Origem: Tipologias.xls (carga e rede)</t>
  </si>
  <si>
    <t>ENERGIA FORNECIDA (Origem: ANEXO II)</t>
  </si>
  <si>
    <t>cálculo</t>
  </si>
  <si>
    <t>dado processado</t>
  </si>
  <si>
    <t>dados de entrada (manual)</t>
  </si>
  <si>
    <t>dados de entrada (automático)</t>
  </si>
  <si>
    <t>ENERGIA INJETADA (Origem: ANEXO II)</t>
  </si>
  <si>
    <t>MERCADO DE REFERÊNCIA (Origem: BDL.accd)</t>
  </si>
  <si>
    <t>CÉLULAS</t>
  </si>
  <si>
    <t>Auxiliar</t>
  </si>
  <si>
    <t>Resultados</t>
  </si>
  <si>
    <t>LEGENDA</t>
  </si>
  <si>
    <t>Origem: Anexo II e III</t>
  </si>
  <si>
    <t>ATIVOS e CUSTOS</t>
  </si>
  <si>
    <t>Somente ativos próprios; Verificar unidades (MVA, kVA, etc)</t>
  </si>
  <si>
    <t>Versão BADNET</t>
  </si>
  <si>
    <t>DADOS MERCADO</t>
  </si>
  <si>
    <t>FATOR DE PERDAS PARA TUSDg</t>
  </si>
  <si>
    <r>
      <rPr>
        <sz val="8"/>
        <color theme="0"/>
        <rFont val="Calibri"/>
        <family val="2"/>
      </rPr>
      <t>Ɵ</t>
    </r>
    <r>
      <rPr>
        <sz val="8"/>
        <color theme="0"/>
        <rFont val="Arial Narrow"/>
        <family val="2"/>
      </rPr>
      <t>k (PERDAS ALOCADAS CARGA)</t>
    </r>
  </si>
  <si>
    <r>
      <t>ENERGIA FATURADA (E</t>
    </r>
    <r>
      <rPr>
        <sz val="6"/>
        <color theme="0"/>
        <rFont val="Calibri"/>
        <family val="2"/>
        <scheme val="minor"/>
      </rPr>
      <t>C+D</t>
    </r>
    <r>
      <rPr>
        <sz val="10"/>
        <color theme="0"/>
        <rFont val="Calibri"/>
        <family val="2"/>
        <scheme val="minor"/>
      </rPr>
      <t xml:space="preserve">) </t>
    </r>
  </si>
  <si>
    <r>
      <t>GERAÇÃO NO NÍVEL (E</t>
    </r>
    <r>
      <rPr>
        <sz val="6"/>
        <color theme="0"/>
        <rFont val="Calibri"/>
        <family val="2"/>
        <scheme val="minor"/>
      </rPr>
      <t>G</t>
    </r>
    <r>
      <rPr>
        <sz val="10"/>
        <color theme="0"/>
        <rFont val="Calibri"/>
        <family val="2"/>
        <scheme val="minor"/>
      </rPr>
      <t>)</t>
    </r>
  </si>
  <si>
    <r>
      <t>GERAÇÃO FICTÍCIA (E</t>
    </r>
    <r>
      <rPr>
        <sz val="6"/>
        <color theme="0"/>
        <rFont val="Calibri"/>
        <family val="2"/>
        <scheme val="minor"/>
      </rPr>
      <t>FG</t>
    </r>
    <r>
      <rPr>
        <sz val="10"/>
        <color theme="0"/>
        <rFont val="Calibri"/>
        <family val="2"/>
        <scheme val="minor"/>
      </rPr>
      <t>)</t>
    </r>
  </si>
  <si>
    <t>CUSTO RTP ANTERIOR Fonte: Planilha TR 3CRTP</t>
  </si>
  <si>
    <t>FATOR K: TR MOD. DISTRIBUIÇÃO - TUSDd (eq. 12 do PRORET 7.2)</t>
  </si>
  <si>
    <t>u</t>
  </si>
  <si>
    <r>
      <t xml:space="preserve">FATOR </t>
    </r>
    <r>
      <rPr>
        <b/>
        <sz val="10"/>
        <color theme="1"/>
        <rFont val="Symbol MT"/>
        <family val="1"/>
        <charset val="2"/>
      </rPr>
      <t>u</t>
    </r>
    <r>
      <rPr>
        <b/>
        <sz val="10"/>
        <color theme="1"/>
        <rFont val="Calibri"/>
        <family val="2"/>
        <scheme val="minor"/>
      </rPr>
      <t>: TR MOD. GERAÇÃO - TUSDg (eq. 1 e 2 do PRORET 7.4)</t>
    </r>
  </si>
  <si>
    <r>
      <t>CARREGAMENTO TRAFOS (</t>
    </r>
    <r>
      <rPr>
        <b/>
        <sz val="10"/>
        <color rgb="FFFF0000"/>
        <rFont val="Calibri"/>
        <family val="2"/>
        <scheme val="minor"/>
      </rPr>
      <t>Avaliar valores &gt;1 e &lt; 0,45</t>
    </r>
    <r>
      <rPr>
        <b/>
        <sz val="10"/>
        <color theme="1"/>
        <rFont val="Calibri"/>
        <family val="2"/>
        <scheme val="minor"/>
      </rPr>
      <t>)</t>
    </r>
  </si>
  <si>
    <t>Fonte: relatorioBetaTotal.xls</t>
  </si>
  <si>
    <t>P(MW) (mês)</t>
  </si>
  <si>
    <t>FP(MW) (mês)</t>
  </si>
  <si>
    <t>R$ (ano)</t>
  </si>
  <si>
    <t>kW (ano)</t>
  </si>
  <si>
    <t>ajuste mercado faturado</t>
  </si>
  <si>
    <t>EV (AS e BT)</t>
  </si>
  <si>
    <t>Agrupamentos/Subgrupo</t>
  </si>
  <si>
    <t>Agrupamento/Subgrupo</t>
  </si>
  <si>
    <t>TUSD MODALIDADE DISTRIBUIÇÃO - TUSDd - FIO B (R$/kW)</t>
  </si>
  <si>
    <t>TUSD MODALIDADE GERAÇÃO - TUSDg</t>
  </si>
  <si>
    <t>Perdas Técnicas</t>
  </si>
  <si>
    <t>Eletroacre</t>
  </si>
  <si>
    <t>Cemar</t>
  </si>
  <si>
    <t>Cepisa</t>
  </si>
  <si>
    <t>Coelce</t>
  </si>
  <si>
    <t>Cosern</t>
  </si>
  <si>
    <t>Celpe</t>
  </si>
  <si>
    <t>Ceal</t>
  </si>
  <si>
    <t>Sulgipe</t>
  </si>
  <si>
    <t>Coelba</t>
  </si>
  <si>
    <t>CPFL AGR</t>
  </si>
  <si>
    <t>CPFL Paulista</t>
  </si>
  <si>
    <t>CPFL Jaguari</t>
  </si>
  <si>
    <t>CPFL Mococa</t>
  </si>
  <si>
    <t>CPFL Leste Paulista</t>
  </si>
  <si>
    <t>CPFL Santa Cruz</t>
  </si>
  <si>
    <t>CPFL Sul Paulista</t>
  </si>
  <si>
    <t>Cocel</t>
  </si>
  <si>
    <t>Forcel</t>
  </si>
  <si>
    <t>Eflul</t>
  </si>
  <si>
    <t>Ienergia</t>
  </si>
  <si>
    <t>Demei</t>
  </si>
  <si>
    <t>Chesp</t>
  </si>
  <si>
    <t>Jari</t>
  </si>
  <si>
    <t>Ceron</t>
  </si>
  <si>
    <t>Celpa</t>
  </si>
  <si>
    <t>Escelsa</t>
  </si>
  <si>
    <t>Light</t>
  </si>
  <si>
    <t>Ampla</t>
  </si>
  <si>
    <t>Elektro</t>
  </si>
  <si>
    <t>Eletropaulo</t>
  </si>
  <si>
    <t>AES Sul</t>
  </si>
  <si>
    <t>Eletrocar</t>
  </si>
  <si>
    <t>Hidropan</t>
  </si>
  <si>
    <t>Uhenpal</t>
  </si>
  <si>
    <t>MuxEnergia</t>
  </si>
  <si>
    <t>Creluz</t>
  </si>
  <si>
    <t>Coprel</t>
  </si>
  <si>
    <t>Cermissões</t>
  </si>
  <si>
    <t>Ceriluz</t>
  </si>
  <si>
    <t>Creral</t>
  </si>
  <si>
    <t>Copel-DIS</t>
  </si>
  <si>
    <t>Cooperaliança</t>
  </si>
  <si>
    <t>CPFL Piratininga</t>
  </si>
  <si>
    <t>Certaja</t>
  </si>
  <si>
    <t>Cooperluz</t>
  </si>
  <si>
    <t>Ceral DIS</t>
  </si>
  <si>
    <t>Cemig-D</t>
  </si>
  <si>
    <t>Caiuá</t>
  </si>
  <si>
    <t>Ceres</t>
  </si>
  <si>
    <t>Ceral Anitápolis</t>
  </si>
  <si>
    <t>Cerej</t>
  </si>
  <si>
    <t>Cergal</t>
  </si>
  <si>
    <t>Cergapa</t>
  </si>
  <si>
    <t>Cergral</t>
  </si>
  <si>
    <t>Cermoful</t>
  </si>
  <si>
    <t>Cerpalo</t>
  </si>
  <si>
    <t>Cedri</t>
  </si>
  <si>
    <t>Ceprag</t>
  </si>
  <si>
    <t>Cersul</t>
  </si>
  <si>
    <t>Certrel</t>
  </si>
  <si>
    <t>Coopera</t>
  </si>
  <si>
    <t>Coopercocal</t>
  </si>
  <si>
    <t>Coopermila</t>
  </si>
  <si>
    <t>Cercos</t>
  </si>
  <si>
    <t>Ceripa</t>
  </si>
  <si>
    <t>Cetril</t>
  </si>
  <si>
    <t>Cedrap</t>
  </si>
  <si>
    <t>Ceris</t>
  </si>
  <si>
    <t>Cerpro</t>
  </si>
  <si>
    <t>Cerim</t>
  </si>
  <si>
    <t>Celesc-DIS</t>
  </si>
  <si>
    <t>Celg-D</t>
  </si>
  <si>
    <t>Cernhe</t>
  </si>
  <si>
    <t>Cejama</t>
  </si>
  <si>
    <t>Ceraça</t>
  </si>
  <si>
    <t>Cerbranorte</t>
  </si>
  <si>
    <t>Coorsel</t>
  </si>
  <si>
    <t>AmE</t>
  </si>
  <si>
    <t>Certel</t>
  </si>
  <si>
    <t>GERDAU AÇOS ESPECIAIS-CEEE</t>
  </si>
  <si>
    <t>GERDAU AÇOS LONGOS - AES SUL</t>
  </si>
  <si>
    <t>COMPLEXO FORD</t>
  </si>
  <si>
    <t>LINDE GASES</t>
  </si>
  <si>
    <t>Nhandu</t>
  </si>
  <si>
    <t>Piratini</t>
  </si>
  <si>
    <t>PCH TAMBORIL</t>
  </si>
  <si>
    <t>PCH RENIC</t>
  </si>
  <si>
    <t>Abranjo I</t>
  </si>
  <si>
    <t>Pontal 2 B</t>
  </si>
  <si>
    <t>REB Cassino III</t>
  </si>
  <si>
    <t>REB Cassino I</t>
  </si>
  <si>
    <t>REB Cassino II</t>
  </si>
  <si>
    <t>Biotérmica Recreio</t>
  </si>
  <si>
    <t>EOL VERACE X</t>
  </si>
  <si>
    <t>Verace X</t>
  </si>
  <si>
    <t>Xangri-lá</t>
  </si>
  <si>
    <t>Grupo A</t>
  </si>
  <si>
    <t>Período</t>
  </si>
  <si>
    <t>Posto Fora Ponta</t>
  </si>
  <si>
    <t>Posto Ponta</t>
  </si>
  <si>
    <t>XXhXX às XXhXX (dia seguinte)</t>
  </si>
  <si>
    <t>Horário de verão</t>
  </si>
  <si>
    <t>&lt;horário de ponta_HV&gt;</t>
  </si>
  <si>
    <t>Grupo B</t>
  </si>
  <si>
    <t>Posto Intermediário</t>
  </si>
  <si>
    <t>XXhXX às XXhXX</t>
  </si>
  <si>
    <t>EV%</t>
  </si>
  <si>
    <t>Vigente (último IRT)</t>
  </si>
  <si>
    <t>Nova (RTP atual)</t>
  </si>
  <si>
    <t>ACESSANTE (UC A1, UC C1 ou D)</t>
  </si>
  <si>
    <t>BASE DE REMUNERAÇÃO DE REFERÊNCIA PARA O ATIVOS DE USO EXCLUSIVO</t>
  </si>
  <si>
    <t>Ativos: (fonte: Anexo IV)</t>
  </si>
  <si>
    <t>Custo e depreciação:(fonte: Banco de preços da transmissão)</t>
  </si>
  <si>
    <t>* LT quantidade em km</t>
  </si>
  <si>
    <t>DISTRIBUIDORA</t>
  </si>
  <si>
    <t>CÓDIGO</t>
  </si>
  <si>
    <t>FC</t>
  </si>
  <si>
    <t>valor anual</t>
  </si>
  <si>
    <t>DADOS DIVERSOS (%) (Fonte: BAD NET)</t>
  </si>
  <si>
    <r>
      <t>DADOS RECEITA (R$) (Fonte: BAD NET</t>
    </r>
    <r>
      <rPr>
        <b/>
        <sz val="10"/>
        <color theme="1"/>
        <rFont val="Calibri"/>
        <family val="2"/>
        <scheme val="minor"/>
      </rPr>
      <t>)</t>
    </r>
  </si>
  <si>
    <r>
      <t>DADOS CUSD (Fonte: BAD NET</t>
    </r>
    <r>
      <rPr>
        <b/>
        <sz val="10"/>
        <color theme="1"/>
        <rFont val="Calibri"/>
        <family val="2"/>
        <scheme val="minor"/>
      </rPr>
      <t>)</t>
    </r>
  </si>
  <si>
    <t>DADOS RECEITA TUSDg (Fonte: BADNET)</t>
  </si>
  <si>
    <t>RELAÇÕES VIGENTES (fonte: BDL.accd)</t>
  </si>
  <si>
    <t>DADOS CCD (Fonte: BAD NET)</t>
  </si>
  <si>
    <t>DADOS CCT (Fonte: BAD NET)</t>
  </si>
  <si>
    <r>
      <t>DADOS CCT (Fonte BD 101</t>
    </r>
    <r>
      <rPr>
        <b/>
        <i/>
        <sz val="10"/>
        <color theme="1"/>
        <rFont val="Calibri"/>
        <family val="2"/>
        <scheme val="minor"/>
      </rPr>
      <t>.accdb</t>
    </r>
    <r>
      <rPr>
        <b/>
        <sz val="10"/>
        <color theme="1"/>
        <rFont val="Calibri"/>
        <family val="2"/>
        <scheme val="minor"/>
      </rPr>
      <t>)</t>
    </r>
  </si>
  <si>
    <t>DADOS CUST (Fonte: BD 101.accd)</t>
  </si>
  <si>
    <t>='CCD_(nome Acessante)'!B3:C3</t>
  </si>
  <si>
    <t xml:space="preserve">Agrupamento
</t>
  </si>
  <si>
    <t>Pontos de Conexão</t>
  </si>
  <si>
    <t>Nível de Tensão</t>
  </si>
  <si>
    <t xml:space="preserve">CÓD. ONS </t>
  </si>
  <si>
    <t>DATA REFERÊNCIA</t>
  </si>
  <si>
    <t>TARIFA - RB</t>
  </si>
  <si>
    <t>TARIFA - FR</t>
  </si>
  <si>
    <t>TRANSMISSORA</t>
  </si>
  <si>
    <t>CONTRATO</t>
  </si>
  <si>
    <t>Encargo Conexão</t>
  </si>
  <si>
    <t>Edificação</t>
  </si>
  <si>
    <t>RAP do Ciclo</t>
  </si>
  <si>
    <t>IAT</t>
  </si>
  <si>
    <t>RAP do Ciclo AT</t>
  </si>
  <si>
    <t>Pontos de check CTR</t>
  </si>
  <si>
    <t>Diagrama de Proporção de Fluxo</t>
  </si>
  <si>
    <t>Fator de Perdas de Potência</t>
  </si>
  <si>
    <t>Pontos de check TR FIO A</t>
  </si>
  <si>
    <t>Construção das TRs</t>
  </si>
  <si>
    <t>Relação Ponta/fora ponta</t>
  </si>
  <si>
    <t>Pontos de check TR FIO B</t>
  </si>
  <si>
    <t>Estrutura Vertical</t>
  </si>
  <si>
    <t>Inicial</t>
  </si>
  <si>
    <t>Ajuste Custo Comercial</t>
  </si>
  <si>
    <t>Final</t>
  </si>
  <si>
    <t>Carregamento Trafos</t>
  </si>
  <si>
    <t>COLAR AS FIGURAS COMO IMAGEM META ARQUIVO AVANÇADO</t>
  </si>
  <si>
    <t>Tabela 2 – Valores das Tarifas por modalidade e subgrupo - Grupo B</t>
  </si>
  <si>
    <t>Convencional 
(R$/MWh)</t>
  </si>
  <si>
    <t>Branca (R$/MWh)</t>
  </si>
  <si>
    <t>Variação tarifa Branca/Convencional</t>
  </si>
  <si>
    <t>Intermediário</t>
  </si>
  <si>
    <t>B1 (&lt; 2,3 kV - Residencial)</t>
  </si>
  <si>
    <t>B1 (&lt; 2,3 kV - Residencial) - baixa renda</t>
  </si>
  <si>
    <t>B2 (&lt; 2,3 kV - Rural)</t>
  </si>
  <si>
    <t>B3 (&lt; 2,3 kV – Demais Classes)</t>
  </si>
  <si>
    <t>B4a (&lt; 2,3 kV - IP)</t>
  </si>
  <si>
    <r>
      <t>Tabela 4 – Custos Médios</t>
    </r>
    <r>
      <rPr>
        <b/>
        <sz val="11"/>
        <color rgb="FFFF0000"/>
        <rFont val="Arial Narrow"/>
        <family val="2"/>
      </rPr>
      <t xml:space="preserve"> </t>
    </r>
  </si>
  <si>
    <t>Acessante</t>
  </si>
  <si>
    <t>Modalidade/Subgrupo</t>
  </si>
  <si>
    <t>Fio A</t>
  </si>
  <si>
    <t>Fio B</t>
  </si>
  <si>
    <t>Encargos</t>
  </si>
  <si>
    <t>Encargo Anual (R$)</t>
  </si>
  <si>
    <t>Uso/Carga/Azul/A1</t>
  </si>
  <si>
    <t>Uso/Carga/Azul/A2</t>
  </si>
  <si>
    <t>Uso Dist/A2</t>
  </si>
  <si>
    <t>Uso Dist/A3</t>
  </si>
  <si>
    <t>DESCONTO</t>
  </si>
  <si>
    <t>PREVISÃO (anual)</t>
  </si>
  <si>
    <t>Subsídio Carga Fonte Incentivada</t>
  </si>
  <si>
    <t>Subsídio Geração Fonte Incentivada</t>
  </si>
  <si>
    <t>Subsídio Distribuição</t>
  </si>
  <si>
    <t>Subsídio Água, Esgoto e Saneamento</t>
  </si>
  <si>
    <t>Subsídio Rural</t>
  </si>
  <si>
    <t>Subsídio Irrigante/Aquicultor</t>
  </si>
  <si>
    <t>Subsídio Baixa Renda</t>
  </si>
  <si>
    <t>GRÁFICOS</t>
  </si>
  <si>
    <t>Gráfico 1 – Efeito Médio por subgrupo (financeiro)</t>
  </si>
  <si>
    <t>fonte: PCAT - efeito (TUSD+TE com financeiros)</t>
  </si>
  <si>
    <t>Efeito Médio (%)</t>
  </si>
  <si>
    <t>A</t>
  </si>
  <si>
    <t>GLOBAL</t>
  </si>
  <si>
    <t>Gráfico 2 – Efeito Médio TUSD por modalidade e subgrupo (financeiro)</t>
  </si>
  <si>
    <t>fonte: PCAT - TabDinEfeito - filtrar opções para obter a informarção - col. SOMA de VARIAÇÃO TUSD</t>
  </si>
  <si>
    <t>Gráfico 3 – Efeito Médio TE por modalidade e subgrupo (financeiro)</t>
  </si>
  <si>
    <t>fonte: PCAT - TabDinEfeito - filtrar opções para obter a informarção - col. SOMA de VARIAÇÃO TE</t>
  </si>
  <si>
    <t>Gráfico 4 – Efeito Médio por Modalidade Tarifária, grupo A, consumidor cativo (TUSD e TE) (financeiro)</t>
  </si>
  <si>
    <t>fonte: PCAT - TabDinEfeito - filtrar opções para obter a informarção - col. SOMA de VARIAÇÃO</t>
  </si>
  <si>
    <t>Modalidade</t>
  </si>
  <si>
    <t>Efeito Médio %</t>
  </si>
  <si>
    <t>Efeito TUSD %</t>
  </si>
  <si>
    <t>Efeito TE %</t>
  </si>
  <si>
    <t>Azul</t>
  </si>
  <si>
    <t>Verde</t>
  </si>
  <si>
    <t>Conv</t>
  </si>
  <si>
    <t>Gráfico 5 – Efeito Médio por modalidade e subgrupo demais acessantes (TUSD) (financeiro)</t>
  </si>
  <si>
    <t>Ger</t>
  </si>
  <si>
    <t>Dist</t>
  </si>
  <si>
    <t xml:space="preserve">Data </t>
  </si>
  <si>
    <t>Reserva de capacidade</t>
  </si>
  <si>
    <t>Chupinguaia</t>
  </si>
  <si>
    <t>Marcol</t>
  </si>
  <si>
    <t>Cabixi</t>
  </si>
  <si>
    <t>CGH CACHOEIRA PAULISTA</t>
  </si>
  <si>
    <t>Cachoeira Paulista</t>
  </si>
  <si>
    <t>Rio Branco</t>
  </si>
  <si>
    <t>Cabixi II</t>
  </si>
  <si>
    <t>Angelo Cassol</t>
  </si>
  <si>
    <t>Santa Cruz de Monte Negro</t>
  </si>
  <si>
    <t>sem dados</t>
  </si>
  <si>
    <t>Inserir código acessante</t>
  </si>
  <si>
    <t>CONSULTA AO BANCO DE REGRAS</t>
  </si>
  <si>
    <t>Pontos de check TR TUSD TRANSPORTE - RPFP</t>
  </si>
  <si>
    <t>Nome</t>
  </si>
  <si>
    <t>obs: formulas criadas pela Macro (Aba fio A)</t>
  </si>
  <si>
    <t>Custo MG
 (por trafo)</t>
  </si>
  <si>
    <t>ABA</t>
  </si>
  <si>
    <t>TUST do Ponto de conexão</t>
  </si>
  <si>
    <t>DESVIO</t>
  </si>
  <si>
    <t>Variação
custo médio</t>
  </si>
  <si>
    <t>CASO SEJA NECESSARIO MAIS UM ACESSANTE EM DETERMINADO SUBGRUPO, INCLUIR LINHAS (TODAS AS COLUNAS)</t>
  </si>
  <si>
    <t>AUXILIAR FIO A</t>
  </si>
  <si>
    <t>EL</t>
  </si>
  <si>
    <t>LT</t>
  </si>
  <si>
    <t>SMF</t>
  </si>
  <si>
    <t>ESCOLHA MODULO</t>
  </si>
  <si>
    <t>ANO</t>
  </si>
  <si>
    <t>Contrato</t>
  </si>
  <si>
    <t>REH anterior</t>
  </si>
  <si>
    <t>09/2002</t>
  </si>
  <si>
    <t>SIGLA D</t>
  </si>
  <si>
    <t>NOME DISTRIBUIDORA</t>
  </si>
  <si>
    <t>UF</t>
  </si>
  <si>
    <t>00/00/0000</t>
  </si>
  <si>
    <t>0/00</t>
  </si>
  <si>
    <t>PADRÃO</t>
  </si>
  <si>
    <t>12/1997</t>
  </si>
  <si>
    <t>202/1998</t>
  </si>
  <si>
    <t>182/1998</t>
  </si>
  <si>
    <t>002/1997, 003/1997, 004/1997 e 005/1997</t>
  </si>
  <si>
    <t>145/2002</t>
  </si>
  <si>
    <t>187/1998</t>
  </si>
  <si>
    <t>162/1998</t>
  </si>
  <si>
    <t>107/2001</t>
  </si>
  <si>
    <t>20/2001</t>
  </si>
  <si>
    <t>5/1996</t>
  </si>
  <si>
    <t>21/2001</t>
  </si>
  <si>
    <t>13/1999</t>
  </si>
  <si>
    <t>7/2001</t>
  </si>
  <si>
    <t>6/2001</t>
  </si>
  <si>
    <t>5/2001</t>
  </si>
  <si>
    <t>66/1999</t>
  </si>
  <si>
    <t>81/1999</t>
  </si>
  <si>
    <t>56/1999</t>
  </si>
  <si>
    <t>63/2000</t>
  </si>
  <si>
    <t>26/2000</t>
  </si>
  <si>
    <t>52/1999</t>
  </si>
  <si>
    <t>60/2000</t>
  </si>
  <si>
    <t>3/1997</t>
  </si>
  <si>
    <t>4/2001</t>
  </si>
  <si>
    <t>22/1999</t>
  </si>
  <si>
    <t>44/1999</t>
  </si>
  <si>
    <t>15/1999</t>
  </si>
  <si>
    <t>17/1999</t>
  </si>
  <si>
    <t>21/1999</t>
  </si>
  <si>
    <t>16/1999</t>
  </si>
  <si>
    <t>27/1998</t>
  </si>
  <si>
    <t>10/1997</t>
  </si>
  <si>
    <t>1/1998</t>
  </si>
  <si>
    <t>46/1999</t>
  </si>
  <si>
    <t>8/1997</t>
  </si>
  <si>
    <t>18/1997</t>
  </si>
  <si>
    <t>14/1997</t>
  </si>
  <si>
    <t>Companhia Paulista de Força e Luz</t>
  </si>
  <si>
    <t>19/1999</t>
  </si>
  <si>
    <t>85/2000</t>
  </si>
  <si>
    <t>86/2000</t>
  </si>
  <si>
    <t>49/1999</t>
  </si>
  <si>
    <t>8/2000</t>
  </si>
  <si>
    <t>14/1999</t>
  </si>
  <si>
    <t>12/1999</t>
  </si>
  <si>
    <t>26/1999</t>
  </si>
  <si>
    <t>25/1999</t>
  </si>
  <si>
    <t>84/2000</t>
  </si>
  <si>
    <t>20/1999</t>
  </si>
  <si>
    <t>40/1999</t>
  </si>
  <si>
    <t>1/1997</t>
  </si>
  <si>
    <t>42/1999</t>
  </si>
  <si>
    <t>19/2001</t>
  </si>
  <si>
    <t>1/1995</t>
  </si>
  <si>
    <t>7/1997</t>
  </si>
  <si>
    <t>69/1999</t>
  </si>
  <si>
    <t>50/1999</t>
  </si>
  <si>
    <t>1/1996</t>
  </si>
  <si>
    <t>87/2000</t>
  </si>
  <si>
    <t>13/1997</t>
  </si>
  <si>
    <t>91/1999</t>
  </si>
  <si>
    <t>Energisa Sergipe - Distribuidora de Energia S.A.</t>
  </si>
  <si>
    <t>BdNet</t>
  </si>
  <si>
    <t>Data Importação</t>
  </si>
  <si>
    <t>Arquivo</t>
  </si>
  <si>
    <t>fonte: PCAT - TABELAS REH - soma TUSD+TE</t>
  </si>
  <si>
    <r>
      <t xml:space="preserve">Tabela 6 – Postos tarifários </t>
    </r>
    <r>
      <rPr>
        <i/>
        <sz val="11"/>
        <color rgb="FFFF0000"/>
        <rFont val="Arial Narrow"/>
        <family val="2"/>
      </rPr>
      <t>(preenchimento manual)</t>
    </r>
  </si>
  <si>
    <r>
      <t xml:space="preserve">Tabela xx. - Encargo de Conexão de acessantes </t>
    </r>
    <r>
      <rPr>
        <i/>
        <sz val="12"/>
        <color rgb="FFFF0000"/>
        <rFont val="Arial Narrow"/>
        <family val="2"/>
      </rPr>
      <t>(preenchimento manual)</t>
    </r>
    <r>
      <rPr>
        <i/>
        <sz val="12"/>
        <color theme="1"/>
        <rFont val="Arial Narrow"/>
        <family val="2"/>
      </rPr>
      <t>- PCAT e TR</t>
    </r>
  </si>
  <si>
    <r>
      <t>Tabela xx - Subsídio tarifário cobertos pela CDE</t>
    </r>
    <r>
      <rPr>
        <i/>
        <sz val="12"/>
        <color theme="1"/>
        <rFont val="Arial Narrow"/>
        <family val="2"/>
      </rPr>
      <t>- PCAT</t>
    </r>
  </si>
  <si>
    <t>Código consta na CAPA. Conferir com última PCAT</t>
  </si>
  <si>
    <t>FATOR DE COINCIDÊNCIA - FP</t>
  </si>
  <si>
    <t>FIO A (RPFP)</t>
  </si>
  <si>
    <t>Nº de acessantes</t>
  </si>
  <si>
    <t>Simulação</t>
  </si>
  <si>
    <t>Remuneração O.E.</t>
  </si>
  <si>
    <t>Obrigações Especiais Bruta (OESb)</t>
  </si>
  <si>
    <t>RC Obrigações Especiais</t>
  </si>
  <si>
    <t>Copiar informações da aba "VPB e Fator X" da Sparta</t>
  </si>
  <si>
    <t>C1 -INCLUIR TUST RB E FR DO PONTO DE CONEXÃO</t>
  </si>
  <si>
    <t>HORARIO</t>
  </si>
  <si>
    <t>TIPO</t>
  </si>
  <si>
    <t>FORA DO HORÁRIO DE VERÃO</t>
  </si>
  <si>
    <t>HORÁRIO DE VERÃO</t>
  </si>
  <si>
    <t>INÍCIO PONTA</t>
  </si>
  <si>
    <t>COMERCIAL E OUTROS</t>
  </si>
  <si>
    <t>RESIDENCIAL (B1)</t>
  </si>
  <si>
    <t>RURAL (B2)</t>
  </si>
  <si>
    <t>CGT</t>
  </si>
  <si>
    <t>IPCA</t>
  </si>
  <si>
    <t xml:space="preserve">IJUI 1 - 23 kV (A)                           </t>
  </si>
  <si>
    <t>RSIJU123--A</t>
  </si>
  <si>
    <t xml:space="preserve">IJUI 2 - 69 kV (A)                           </t>
  </si>
  <si>
    <t>RSIJU269--A</t>
  </si>
  <si>
    <t>CEEE-T</t>
  </si>
  <si>
    <t>055/2001</t>
  </si>
  <si>
    <t>IJUI</t>
  </si>
  <si>
    <t>EL 23 kV IJUI  DIST7</t>
  </si>
  <si>
    <t>EL 23 kV IJUI  DIST6</t>
  </si>
  <si>
    <t>EL 23 kV IJUI  DIST4</t>
  </si>
  <si>
    <t>EL 23 kV IJUI  DIST1</t>
  </si>
  <si>
    <t>011/2010</t>
  </si>
  <si>
    <t>IJUI 2</t>
  </si>
  <si>
    <t>EL 69 kV IJUI 2  PARA DEMEI</t>
  </si>
  <si>
    <t>A3-A4</t>
  </si>
  <si>
    <t>INJ-A3</t>
  </si>
  <si>
    <t>INTERMED</t>
  </si>
  <si>
    <t>22,00</t>
  </si>
  <si>
    <t>48500.003567/2021-66</t>
  </si>
  <si>
    <t>2.901/2021</t>
  </si>
  <si>
    <t>Normal</t>
  </si>
  <si>
    <t>21h00 às 17h59 (dia seguinte)</t>
  </si>
  <si>
    <t>18h00 às 20h59</t>
  </si>
  <si>
    <t>22h00 às 16h59 (dia seguinte)</t>
  </si>
  <si>
    <t>17h00 às 17Xh59</t>
  </si>
  <si>
    <t>21h00 às 21h59</t>
  </si>
  <si>
    <t>Y:\REVISÃO\Concessionárias de Distribuição\2022\07 - D38 - Demei (Deveth)\Versão Final\Estrutura\Lei 14299\95 PCAT Demei 2022 V02.xlsx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</si>
</sst>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_-;\-* #,##0_-;_-* &quot;-&quot;??_-;_-@_-"/>
    <numFmt numFmtId="167" formatCode="h:mm;@"/>
    <numFmt numFmtId="168" formatCode="h:mm"/>
    <numFmt numFmtId="169" formatCode="h:mm:ss;@"/>
    <numFmt numFmtId="170" formatCode="0.000"/>
    <numFmt numFmtId="171" formatCode="[$-F400]h:mm:ss\ AM/PM"/>
    <numFmt numFmtId="172" formatCode="0000"/>
    <numFmt numFmtId="173" formatCode="0.000%"/>
    <numFmt numFmtId="174" formatCode="0.0"/>
    <numFmt numFmtId="175" formatCode="0.0\ \ &quot;MW&quot;"/>
    <numFmt numFmtId="176" formatCode="0.0\ \ &quot;MWh&quot;"/>
    <numFmt numFmtId="177" formatCode="0.00\ \ &quot;MW&quot;"/>
    <numFmt numFmtId="178" formatCode="0.000\ \ &quot;MW&quot;"/>
    <numFmt numFmtId="179" formatCode="0.0000"/>
    <numFmt numFmtId="180" formatCode="_-* #,##0.000_-;\-* #,##0.000_-;_-* &quot;-&quot;??_-;_-@_-"/>
    <numFmt numFmtId="181" formatCode="_-* #,##0.00_-;\-* #,##0.00_-;_-* &quot;-&quot;???_-;_-@_-"/>
    <numFmt numFmtId="182" formatCode="0.00000"/>
    <numFmt numFmtId="183" formatCode="#,##0.000"/>
    <numFmt numFmtId="184" formatCode="&quot;R$&quot;\ #,##0.00"/>
    <numFmt numFmtId="185" formatCode="_-* #,##0.000_-;\-* #,##0.000_-;_-* &quot;-&quot;???_-;_-@_-"/>
    <numFmt numFmtId="186" formatCode="_-* #,##0.0000000_-;\-* #,##0.0000000_-;_-* &quot;-&quot;??_-;_-@_-"/>
    <numFmt numFmtId="187" formatCode="#,##0.00_ ;\-#,##0.00\ "/>
    <numFmt numFmtId="188" formatCode="#,##0.00;[Red]#,##0.00"/>
    <numFmt numFmtId="189" formatCode="#,##0;[Red]#,##0"/>
    <numFmt numFmtId="190" formatCode="#,##0.000_ ;\-#,##0.000\ "/>
    <numFmt numFmtId="191" formatCode="_-* #,##0.0000_-;\-* #,##0.0000_-;_-* &quot;-&quot;??_-;_-@_-"/>
    <numFmt numFmtId="192" formatCode="_(* #,##0.000_);_(* \(#,##0.000\);_(* &quot;-&quot;??_);_(@_)"/>
    <numFmt numFmtId="193" formatCode="0.0000000"/>
    <numFmt numFmtId="194" formatCode="#,##0.00_ ;[Red]\-#,##0.00\ "/>
    <numFmt numFmtId="195" formatCode="#,##0.0000"/>
    <numFmt numFmtId="196" formatCode="#,##0.000_ ;[Red]\-#,##0.000\ "/>
    <numFmt numFmtId="197" formatCode="_-* #,##0.00000_-;\-* #,##0.00000_-;_-* &quot;-&quot;??_-;_-@_-"/>
  </numFmts>
  <fonts count="7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8"/>
      <name val="Arial"/>
      <family val="2"/>
    </font>
    <font>
      <b/>
      <sz val="8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rgb="FFFF0000"/>
      <name val="Arial Narrow"/>
      <family val="2"/>
    </font>
    <font>
      <b/>
      <sz val="10"/>
      <color rgb="FFC0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b/>
      <sz val="14"/>
      <color rgb="FFFF0000"/>
      <name val="Times New Roman"/>
      <family val="1"/>
    </font>
    <font>
      <i/>
      <sz val="10"/>
      <color theme="1"/>
      <name val="Calibri"/>
      <family val="2"/>
      <scheme val="minor"/>
    </font>
    <font>
      <sz val="8"/>
      <color theme="0"/>
      <name val="Calibri"/>
      <family val="2"/>
    </font>
    <font>
      <sz val="6"/>
      <color theme="0"/>
      <name val="Calibri"/>
      <family val="2"/>
      <scheme val="minor"/>
    </font>
    <font>
      <b/>
      <sz val="10"/>
      <color theme="0"/>
      <name val="Symbol"/>
      <family val="1"/>
      <charset val="2"/>
    </font>
    <font>
      <b/>
      <sz val="10"/>
      <color theme="1"/>
      <name val="Symbol MT"/>
      <family val="1"/>
      <charset val="2"/>
    </font>
    <font>
      <b/>
      <sz val="8"/>
      <color theme="1"/>
      <name val="Arial"/>
      <family val="2"/>
    </font>
    <font>
      <sz val="12"/>
      <color theme="1"/>
      <name val="Arial Narrow"/>
      <family val="2"/>
    </font>
    <font>
      <sz val="10"/>
      <name val="Tahoma"/>
      <family val="2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Arial Narrow"/>
      <family val="2"/>
    </font>
    <font>
      <b/>
      <sz val="11"/>
      <color rgb="FFFF0000"/>
      <name val="Arial Narrow"/>
      <family val="2"/>
    </font>
    <font>
      <i/>
      <sz val="12"/>
      <color theme="1"/>
      <name val="Arial Narrow"/>
      <family val="2"/>
    </font>
    <font>
      <sz val="11"/>
      <name val="Arial Narrow"/>
      <family val="2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Arial Narrow"/>
      <family val="2"/>
    </font>
    <font>
      <sz val="9"/>
      <color theme="1"/>
      <name val="Arial Narrow"/>
      <family val="2"/>
    </font>
    <font>
      <b/>
      <sz val="8"/>
      <color theme="0"/>
      <name val="Arial"/>
      <family val="2"/>
    </font>
    <font>
      <i/>
      <sz val="12"/>
      <color rgb="FFFF0000"/>
      <name val="Arial Narrow"/>
      <family val="2"/>
    </font>
    <font>
      <i/>
      <sz val="11"/>
      <color rgb="FFFF0000"/>
      <name val="Arial Narrow"/>
      <family val="2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66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43" fontId="6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  <xf numFmtId="37" fontId="11" fillId="0" borderId="0"/>
    <xf numFmtId="9" fontId="6" fillId="0" borderId="0" applyFont="0" applyFill="0" applyBorder="0" applyAlignment="0" applyProtection="0"/>
    <xf numFmtId="0" fontId="11" fillId="0" borderId="0"/>
    <xf numFmtId="37" fontId="11" fillId="0" borderId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1" fillId="0" borderId="0">
      <alignment vertical="center"/>
    </xf>
    <xf numFmtId="0" fontId="47" fillId="0" borderId="0"/>
  </cellStyleXfs>
  <cellXfs count="90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43" fontId="1" fillId="0" borderId="1" xfId="0" applyNumberFormat="1" applyFont="1" applyBorder="1"/>
    <xf numFmtId="166" fontId="4" fillId="3" borderId="1" xfId="1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3" fontId="2" fillId="3" borderId="1" xfId="1" applyFont="1" applyFill="1" applyBorder="1"/>
    <xf numFmtId="0" fontId="2" fillId="3" borderId="1" xfId="0" applyFont="1" applyFill="1" applyBorder="1"/>
    <xf numFmtId="0" fontId="8" fillId="0" borderId="0" xfId="0" applyFont="1"/>
    <xf numFmtId="167" fontId="0" fillId="0" borderId="0" xfId="0" applyNumberFormat="1"/>
    <xf numFmtId="0" fontId="1" fillId="0" borderId="1" xfId="0" applyFont="1" applyBorder="1"/>
    <xf numFmtId="168" fontId="4" fillId="3" borderId="1" xfId="1" applyNumberFormat="1" applyFont="1" applyFill="1" applyBorder="1" applyAlignment="1">
      <alignment horizontal="center"/>
    </xf>
    <xf numFmtId="168" fontId="5" fillId="3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0" xfId="1" applyFont="1"/>
    <xf numFmtId="43" fontId="2" fillId="0" borderId="1" xfId="1" applyFont="1" applyFill="1" applyBorder="1"/>
    <xf numFmtId="0" fontId="3" fillId="4" borderId="8" xfId="2" applyFont="1" applyFill="1" applyBorder="1" applyAlignment="1">
      <alignment horizontal="center"/>
    </xf>
    <xf numFmtId="169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20" fontId="4" fillId="0" borderId="1" xfId="3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4" applyFont="1" applyFill="1" applyBorder="1" applyAlignment="1">
      <alignment horizontal="center" wrapText="1"/>
    </xf>
    <xf numFmtId="0" fontId="4" fillId="0" borderId="1" xfId="4" applyFont="1" applyBorder="1" applyAlignment="1">
      <alignment horizontal="left" vertical="center" wrapText="1"/>
    </xf>
    <xf numFmtId="0" fontId="4" fillId="5" borderId="1" xfId="4" applyFont="1" applyFill="1" applyBorder="1" applyAlignment="1">
      <alignment horizontal="left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0" fontId="4" fillId="5" borderId="1" xfId="4" applyFont="1" applyFill="1" applyBorder="1" applyAlignment="1">
      <alignment horizontal="center"/>
    </xf>
    <xf numFmtId="14" fontId="2" fillId="3" borderId="1" xfId="0" applyNumberFormat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166" fontId="2" fillId="0" borderId="1" xfId="0" applyNumberFormat="1" applyFont="1" applyBorder="1"/>
    <xf numFmtId="170" fontId="1" fillId="0" borderId="0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0" fontId="1" fillId="0" borderId="1" xfId="1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wrapText="1"/>
    </xf>
    <xf numFmtId="0" fontId="2" fillId="0" borderId="0" xfId="0" quotePrefix="1" applyFont="1"/>
    <xf numFmtId="168" fontId="2" fillId="0" borderId="0" xfId="0" applyNumberFormat="1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4" borderId="9" xfId="4" applyFont="1" applyFill="1" applyBorder="1" applyAlignment="1">
      <alignment horizontal="center" wrapText="1"/>
    </xf>
    <xf numFmtId="0" fontId="13" fillId="4" borderId="10" xfId="4" applyFont="1" applyFill="1" applyBorder="1" applyAlignment="1">
      <alignment horizontal="center" wrapText="1"/>
    </xf>
    <xf numFmtId="0" fontId="13" fillId="4" borderId="1" xfId="4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14" fontId="15" fillId="0" borderId="0" xfId="0" applyNumberFormat="1" applyFont="1" applyAlignment="1">
      <alignment horizontal="center"/>
    </xf>
    <xf numFmtId="172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0" fontId="0" fillId="0" borderId="0" xfId="0" quotePrefix="1"/>
    <xf numFmtId="0" fontId="15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43" fontId="2" fillId="0" borderId="1" xfId="1" applyFont="1" applyBorder="1"/>
    <xf numFmtId="0" fontId="13" fillId="4" borderId="3" xfId="4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43" fontId="1" fillId="0" borderId="0" xfId="0" applyNumberFormat="1" applyFont="1"/>
    <xf numFmtId="0" fontId="2" fillId="0" borderId="15" xfId="0" applyFont="1" applyBorder="1" applyAlignment="1">
      <alignment horizontal="center" vertical="center"/>
    </xf>
    <xf numFmtId="10" fontId="2" fillId="9" borderId="18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9" borderId="15" xfId="0" applyNumberFormat="1" applyFont="1" applyFill="1" applyBorder="1" applyAlignment="1">
      <alignment horizontal="center" vertical="center"/>
    </xf>
    <xf numFmtId="10" fontId="2" fillId="9" borderId="16" xfId="0" applyNumberFormat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43" fontId="1" fillId="0" borderId="1" xfId="1" applyFont="1" applyFill="1" applyBorder="1"/>
    <xf numFmtId="0" fontId="7" fillId="4" borderId="15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43" fontId="2" fillId="0" borderId="1" xfId="1" applyFont="1" applyFill="1" applyBorder="1" applyAlignment="1">
      <alignment horizontal="center" vertical="center"/>
    </xf>
    <xf numFmtId="43" fontId="2" fillId="0" borderId="1" xfId="0" applyNumberFormat="1" applyFont="1" applyBorder="1"/>
    <xf numFmtId="43" fontId="2" fillId="0" borderId="0" xfId="0" applyNumberFormat="1" applyFont="1"/>
    <xf numFmtId="4" fontId="2" fillId="0" borderId="0" xfId="0" applyNumberFormat="1" applyFont="1"/>
    <xf numFmtId="10" fontId="2" fillId="0" borderId="1" xfId="6" applyNumberFormat="1" applyFont="1" applyBorder="1"/>
    <xf numFmtId="43" fontId="2" fillId="0" borderId="1" xfId="1" applyFont="1" applyFill="1" applyBorder="1" applyAlignment="1">
      <alignment horizontal="right"/>
    </xf>
    <xf numFmtId="43" fontId="1" fillId="0" borderId="0" xfId="1" applyFont="1"/>
    <xf numFmtId="43" fontId="1" fillId="0" borderId="1" xfId="1" applyFont="1" applyBorder="1"/>
    <xf numFmtId="1" fontId="2" fillId="0" borderId="1" xfId="1" applyNumberFormat="1" applyFont="1" applyBorder="1"/>
    <xf numFmtId="173" fontId="1" fillId="0" borderId="1" xfId="6" applyNumberFormat="1" applyFont="1" applyBorder="1"/>
    <xf numFmtId="4" fontId="1" fillId="0" borderId="1" xfId="0" applyNumberFormat="1" applyFont="1" applyBorder="1" applyAlignment="1">
      <alignment horizontal="center"/>
    </xf>
    <xf numFmtId="43" fontId="7" fillId="0" borderId="0" xfId="1" applyFont="1" applyFill="1"/>
    <xf numFmtId="173" fontId="1" fillId="0" borderId="4" xfId="6" applyNumberFormat="1" applyFont="1" applyBorder="1"/>
    <xf numFmtId="173" fontId="1" fillId="0" borderId="19" xfId="6" applyNumberFormat="1" applyFont="1" applyBorder="1"/>
    <xf numFmtId="173" fontId="1" fillId="0" borderId="20" xfId="6" applyNumberFormat="1" applyFont="1" applyBorder="1"/>
    <xf numFmtId="43" fontId="2" fillId="0" borderId="4" xfId="1" applyFont="1" applyBorder="1"/>
    <xf numFmtId="43" fontId="2" fillId="0" borderId="21" xfId="1" applyFont="1" applyBorder="1"/>
    <xf numFmtId="43" fontId="2" fillId="0" borderId="22" xfId="1" applyFont="1" applyBorder="1"/>
    <xf numFmtId="0" fontId="11" fillId="0" borderId="0" xfId="8" applyNumberFormat="1"/>
    <xf numFmtId="0" fontId="0" fillId="0" borderId="0" xfId="5" applyNumberFormat="1" applyFont="1"/>
    <xf numFmtId="175" fontId="0" fillId="0" borderId="0" xfId="5" applyNumberFormat="1" applyFont="1" applyAlignment="1">
      <alignment horizontal="center"/>
    </xf>
    <xf numFmtId="176" fontId="0" fillId="0" borderId="0" xfId="5" applyNumberFormat="1" applyFont="1"/>
    <xf numFmtId="177" fontId="0" fillId="0" borderId="0" xfId="5" applyNumberFormat="1" applyFont="1" applyAlignment="1">
      <alignment horizontal="center"/>
    </xf>
    <xf numFmtId="175" fontId="0" fillId="0" borderId="0" xfId="5" applyNumberFormat="1" applyFont="1"/>
    <xf numFmtId="175" fontId="0" fillId="0" borderId="0" xfId="5" applyNumberFormat="1" applyFont="1" applyAlignment="1" applyProtection="1">
      <alignment horizontal="center"/>
      <protection locked="0"/>
    </xf>
    <xf numFmtId="178" fontId="0" fillId="0" borderId="0" xfId="5" applyNumberFormat="1" applyFont="1"/>
    <xf numFmtId="0" fontId="17" fillId="0" borderId="0" xfId="5" applyNumberFormat="1" applyFont="1" applyAlignment="1">
      <alignment horizontal="center" vertical="center"/>
    </xf>
    <xf numFmtId="177" fontId="0" fillId="0" borderId="0" xfId="5" applyNumberFormat="1" applyFont="1"/>
    <xf numFmtId="175" fontId="0" fillId="0" borderId="0" xfId="5" applyNumberFormat="1" applyFont="1" applyAlignment="1">
      <alignment horizontal="left"/>
    </xf>
    <xf numFmtId="179" fontId="0" fillId="0" borderId="0" xfId="5" applyNumberFormat="1" applyFont="1"/>
    <xf numFmtId="174" fontId="0" fillId="0" borderId="0" xfId="5" applyNumberFormat="1" applyFont="1"/>
    <xf numFmtId="177" fontId="0" fillId="0" borderId="8" xfId="5" applyNumberFormat="1" applyFont="1" applyBorder="1" applyAlignment="1">
      <alignment horizontal="center"/>
    </xf>
    <xf numFmtId="0" fontId="18" fillId="0" borderId="0" xfId="5" applyNumberFormat="1" applyFont="1" applyAlignment="1">
      <alignment horizontal="center"/>
    </xf>
    <xf numFmtId="0" fontId="20" fillId="0" borderId="1" xfId="4" applyFont="1" applyBorder="1" applyAlignment="1">
      <alignment horizontal="left" vertical="center" wrapText="1"/>
    </xf>
    <xf numFmtId="0" fontId="20" fillId="5" borderId="1" xfId="4" applyFont="1" applyFill="1" applyBorder="1" applyAlignment="1">
      <alignment horizontal="left"/>
    </xf>
    <xf numFmtId="0" fontId="8" fillId="0" borderId="1" xfId="0" applyFont="1" applyBorder="1"/>
    <xf numFmtId="0" fontId="20" fillId="0" borderId="1" xfId="4" applyFont="1" applyBorder="1" applyAlignment="1">
      <alignment horizontal="center" vertical="center" wrapText="1"/>
    </xf>
    <xf numFmtId="177" fontId="11" fillId="11" borderId="8" xfId="5" applyNumberFormat="1" applyFill="1" applyBorder="1" applyAlignment="1">
      <alignment horizontal="center"/>
    </xf>
    <xf numFmtId="177" fontId="0" fillId="11" borderId="8" xfId="5" applyNumberFormat="1" applyFont="1" applyFill="1" applyBorder="1" applyAlignment="1">
      <alignment horizontal="center"/>
    </xf>
    <xf numFmtId="177" fontId="11" fillId="12" borderId="8" xfId="5" applyNumberFormat="1" applyFill="1" applyBorder="1" applyAlignment="1">
      <alignment horizontal="center"/>
    </xf>
    <xf numFmtId="0" fontId="21" fillId="0" borderId="0" xfId="8" applyNumberFormat="1" applyFont="1"/>
    <xf numFmtId="177" fontId="0" fillId="0" borderId="1" xfId="0" applyNumberFormat="1" applyBorder="1"/>
    <xf numFmtId="177" fontId="0" fillId="12" borderId="1" xfId="0" applyNumberFormat="1" applyFill="1" applyBorder="1"/>
    <xf numFmtId="0" fontId="21" fillId="0" borderId="0" xfId="8" applyNumberFormat="1" applyFont="1" applyAlignment="1">
      <alignment wrapText="1"/>
    </xf>
    <xf numFmtId="0" fontId="0" fillId="0" borderId="0" xfId="0" applyAlignment="1">
      <alignment wrapText="1"/>
    </xf>
    <xf numFmtId="0" fontId="20" fillId="5" borderId="1" xfId="4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77" fontId="20" fillId="11" borderId="1" xfId="0" applyNumberFormat="1" applyFont="1" applyFill="1" applyBorder="1"/>
    <xf numFmtId="177" fontId="0" fillId="0" borderId="0" xfId="0" applyNumberFormat="1"/>
    <xf numFmtId="177" fontId="20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0" fontId="22" fillId="0" borderId="0" xfId="8" applyNumberFormat="1" applyFont="1"/>
    <xf numFmtId="2" fontId="23" fillId="0" borderId="0" xfId="8" applyNumberFormat="1" applyFont="1"/>
    <xf numFmtId="0" fontId="23" fillId="0" borderId="0" xfId="8" applyNumberFormat="1" applyFont="1"/>
    <xf numFmtId="0" fontId="7" fillId="4" borderId="1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wrapText="1"/>
    </xf>
    <xf numFmtId="0" fontId="4" fillId="0" borderId="0" xfId="4" applyFont="1" applyAlignment="1">
      <alignment horizontal="center" vertical="center" wrapText="1"/>
    </xf>
    <xf numFmtId="0" fontId="4" fillId="0" borderId="1" xfId="4" applyFont="1" applyBorder="1" applyAlignment="1">
      <alignment horizontal="left"/>
    </xf>
    <xf numFmtId="0" fontId="4" fillId="0" borderId="0" xfId="4" applyFont="1" applyAlignment="1">
      <alignment horizontal="left" vertical="center" wrapText="1"/>
    </xf>
    <xf numFmtId="166" fontId="4" fillId="0" borderId="0" xfId="0" applyNumberFormat="1" applyFont="1" applyAlignment="1">
      <alignment horizontal="center"/>
    </xf>
    <xf numFmtId="0" fontId="4" fillId="0" borderId="0" xfId="4" applyFont="1" applyAlignment="1">
      <alignment horizontal="left"/>
    </xf>
    <xf numFmtId="0" fontId="4" fillId="0" borderId="0" xfId="4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4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1" fontId="2" fillId="0" borderId="1" xfId="1" applyNumberFormat="1" applyFont="1" applyFill="1" applyBorder="1"/>
    <xf numFmtId="10" fontId="2" fillId="0" borderId="1" xfId="0" applyNumberFormat="1" applyFont="1" applyBorder="1"/>
    <xf numFmtId="0" fontId="5" fillId="0" borderId="1" xfId="4" applyFont="1" applyBorder="1" applyAlignment="1">
      <alignment horizontal="left" vertical="center" wrapText="1"/>
    </xf>
    <xf numFmtId="0" fontId="5" fillId="5" borderId="1" xfId="4" applyFont="1" applyFill="1" applyBorder="1" applyAlignment="1">
      <alignment horizontal="left"/>
    </xf>
    <xf numFmtId="9" fontId="1" fillId="0" borderId="1" xfId="6" applyFont="1" applyBorder="1"/>
    <xf numFmtId="43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16" xfId="4" applyFont="1" applyBorder="1" applyAlignment="1">
      <alignment horizontal="left" vertical="center" wrapText="1"/>
    </xf>
    <xf numFmtId="0" fontId="24" fillId="0" borderId="0" xfId="0" applyFont="1"/>
    <xf numFmtId="0" fontId="2" fillId="10" borderId="1" xfId="0" applyFont="1" applyFill="1" applyBorder="1" applyAlignment="1">
      <alignment horizontal="center"/>
    </xf>
    <xf numFmtId="4" fontId="2" fillId="0" borderId="1" xfId="1" applyNumberFormat="1" applyFont="1" applyFill="1" applyBorder="1"/>
    <xf numFmtId="4" fontId="7" fillId="0" borderId="0" xfId="1" applyNumberFormat="1" applyFont="1" applyFill="1"/>
    <xf numFmtId="4" fontId="2" fillId="0" borderId="0" xfId="1" applyNumberFormat="1" applyFont="1"/>
    <xf numFmtId="4" fontId="2" fillId="0" borderId="1" xfId="1" applyNumberFormat="1" applyFont="1" applyBorder="1"/>
    <xf numFmtId="43" fontId="2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 wrapText="1"/>
    </xf>
    <xf numFmtId="0" fontId="3" fillId="4" borderId="4" xfId="2" applyFont="1" applyFill="1" applyBorder="1" applyAlignment="1">
      <alignment horizontal="center" wrapText="1"/>
    </xf>
    <xf numFmtId="4" fontId="2" fillId="14" borderId="1" xfId="1" applyNumberFormat="1" applyFont="1" applyFill="1" applyBorder="1"/>
    <xf numFmtId="4" fontId="2" fillId="14" borderId="3" xfId="1" applyNumberFormat="1" applyFont="1" applyFill="1" applyBorder="1"/>
    <xf numFmtId="4" fontId="2" fillId="0" borderId="3" xfId="1" applyNumberFormat="1" applyFont="1" applyFill="1" applyBorder="1"/>
    <xf numFmtId="0" fontId="25" fillId="3" borderId="0" xfId="0" applyFont="1" applyFill="1" applyAlignment="1">
      <alignment horizontal="center"/>
    </xf>
    <xf numFmtId="0" fontId="3" fillId="4" borderId="15" xfId="2" applyFont="1" applyFill="1" applyBorder="1" applyAlignment="1">
      <alignment horizontal="center"/>
    </xf>
    <xf numFmtId="0" fontId="8" fillId="0" borderId="1" xfId="5" applyNumberFormat="1" applyFont="1" applyBorder="1"/>
    <xf numFmtId="4" fontId="6" fillId="0" borderId="1" xfId="5" applyNumberFormat="1" applyFont="1" applyBorder="1"/>
    <xf numFmtId="4" fontId="2" fillId="0" borderId="1" xfId="0" applyNumberFormat="1" applyFont="1" applyBorder="1"/>
    <xf numFmtId="0" fontId="4" fillId="0" borderId="1" xfId="0" applyFont="1" applyBorder="1" applyAlignment="1">
      <alignment horizontal="center"/>
    </xf>
    <xf numFmtId="180" fontId="2" fillId="0" borderId="1" xfId="1" applyNumberFormat="1" applyFont="1" applyBorder="1" applyAlignment="1">
      <alignment horizontal="left" vertical="top"/>
    </xf>
    <xf numFmtId="180" fontId="2" fillId="0" borderId="1" xfId="1" applyNumberFormat="1" applyFont="1" applyBorder="1" applyAlignment="1">
      <alignment vertical="top"/>
    </xf>
    <xf numFmtId="180" fontId="2" fillId="3" borderId="1" xfId="1" applyNumberFormat="1" applyFont="1" applyFill="1" applyBorder="1" applyAlignment="1">
      <alignment vertical="top"/>
    </xf>
    <xf numFmtId="0" fontId="7" fillId="4" borderId="15" xfId="2" applyFont="1" applyFill="1" applyBorder="1" applyAlignment="1">
      <alignment horizontal="center"/>
    </xf>
    <xf numFmtId="0" fontId="7" fillId="4" borderId="23" xfId="2" applyFont="1" applyFill="1" applyBorder="1" applyAlignment="1">
      <alignment horizontal="center"/>
    </xf>
    <xf numFmtId="179" fontId="2" fillId="9" borderId="3" xfId="0" applyNumberFormat="1" applyFont="1" applyFill="1" applyBorder="1" applyAlignment="1">
      <alignment horizontal="center" vertical="center"/>
    </xf>
    <xf numFmtId="179" fontId="2" fillId="9" borderId="15" xfId="0" applyNumberFormat="1" applyFont="1" applyFill="1" applyBorder="1" applyAlignment="1">
      <alignment horizontal="center" vertical="center"/>
    </xf>
    <xf numFmtId="179" fontId="2" fillId="9" borderId="16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183" fontId="2" fillId="0" borderId="1" xfId="0" applyNumberFormat="1" applyFont="1" applyBorder="1"/>
    <xf numFmtId="0" fontId="7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10" fontId="1" fillId="0" borderId="1" xfId="6" applyNumberFormat="1" applyFont="1" applyBorder="1"/>
    <xf numFmtId="0" fontId="2" fillId="0" borderId="0" xfId="0" applyFont="1" applyAlignment="1">
      <alignment horizontal="right"/>
    </xf>
    <xf numFmtId="0" fontId="1" fillId="0" borderId="16" xfId="0" applyFont="1" applyBorder="1"/>
    <xf numFmtId="10" fontId="1" fillId="0" borderId="0" xfId="6" applyNumberFormat="1" applyFont="1" applyBorder="1"/>
    <xf numFmtId="0" fontId="13" fillId="6" borderId="1" xfId="4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27" fillId="2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83" fontId="1" fillId="0" borderId="1" xfId="0" applyNumberFormat="1" applyFont="1" applyBorder="1"/>
    <xf numFmtId="173" fontId="2" fillId="0" borderId="1" xfId="6" applyNumberFormat="1" applyFont="1" applyBorder="1"/>
    <xf numFmtId="43" fontId="1" fillId="0" borderId="3" xfId="0" applyNumberFormat="1" applyFont="1" applyBorder="1"/>
    <xf numFmtId="0" fontId="3" fillId="2" borderId="15" xfId="0" applyFont="1" applyFill="1" applyBorder="1" applyAlignment="1">
      <alignment horizontal="center"/>
    </xf>
    <xf numFmtId="0" fontId="29" fillId="0" borderId="0" xfId="0" applyFont="1"/>
    <xf numFmtId="20" fontId="29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2" applyFont="1" applyAlignment="1">
      <alignment horizontal="center"/>
    </xf>
    <xf numFmtId="0" fontId="33" fillId="4" borderId="1" xfId="2" applyFont="1" applyFill="1" applyBorder="1" applyAlignment="1">
      <alignment horizontal="center"/>
    </xf>
    <xf numFmtId="0" fontId="33" fillId="2" borderId="1" xfId="2" applyFont="1" applyFill="1" applyBorder="1" applyAlignment="1">
      <alignment horizontal="center"/>
    </xf>
    <xf numFmtId="0" fontId="34" fillId="4" borderId="1" xfId="2" applyFont="1" applyFill="1" applyBorder="1" applyAlignment="1">
      <alignment horizontal="center"/>
    </xf>
    <xf numFmtId="0" fontId="34" fillId="2" borderId="1" xfId="2" applyFont="1" applyFill="1" applyBorder="1" applyAlignment="1">
      <alignment horizontal="center"/>
    </xf>
    <xf numFmtId="169" fontId="35" fillId="0" borderId="1" xfId="3" applyNumberFormat="1" applyFont="1" applyBorder="1" applyAlignment="1">
      <alignment horizontal="center"/>
    </xf>
    <xf numFmtId="0" fontId="35" fillId="0" borderId="1" xfId="3" applyFont="1" applyBorder="1" applyAlignment="1">
      <alignment horizontal="center" wrapText="1"/>
    </xf>
    <xf numFmtId="0" fontId="36" fillId="0" borderId="1" xfId="3" applyFont="1" applyBorder="1" applyAlignment="1">
      <alignment horizontal="center" wrapText="1"/>
    </xf>
    <xf numFmtId="0" fontId="37" fillId="3" borderId="1" xfId="0" applyFont="1" applyFill="1" applyBorder="1" applyAlignment="1">
      <alignment horizontal="center"/>
    </xf>
    <xf numFmtId="183" fontId="30" fillId="0" borderId="1" xfId="1" applyNumberFormat="1" applyFont="1" applyFill="1" applyBorder="1"/>
    <xf numFmtId="0" fontId="30" fillId="0" borderId="1" xfId="0" applyFont="1" applyBorder="1"/>
    <xf numFmtId="183" fontId="30" fillId="0" borderId="1" xfId="0" applyNumberFormat="1" applyFont="1" applyBorder="1"/>
    <xf numFmtId="183" fontId="30" fillId="0" borderId="15" xfId="0" applyNumberFormat="1" applyFont="1" applyBorder="1"/>
    <xf numFmtId="183" fontId="30" fillId="0" borderId="25" xfId="0" applyNumberFormat="1" applyFont="1" applyBorder="1"/>
    <xf numFmtId="183" fontId="30" fillId="0" borderId="26" xfId="0" applyNumberFormat="1" applyFont="1" applyBorder="1"/>
    <xf numFmtId="183" fontId="30" fillId="0" borderId="27" xfId="0" applyNumberFormat="1" applyFont="1" applyBorder="1"/>
    <xf numFmtId="183" fontId="30" fillId="0" borderId="28" xfId="0" applyNumberFormat="1" applyFont="1" applyBorder="1"/>
    <xf numFmtId="186" fontId="2" fillId="0" borderId="0" xfId="0" applyNumberFormat="1" applyFont="1"/>
    <xf numFmtId="187" fontId="0" fillId="0" borderId="1" xfId="1" applyNumberFormat="1" applyFont="1" applyBorder="1"/>
    <xf numFmtId="187" fontId="0" fillId="11" borderId="1" xfId="1" applyNumberFormat="1" applyFont="1" applyFill="1" applyBorder="1"/>
    <xf numFmtId="187" fontId="0" fillId="13" borderId="1" xfId="1" applyNumberFormat="1" applyFont="1" applyFill="1" applyBorder="1"/>
    <xf numFmtId="187" fontId="0" fillId="0" borderId="1" xfId="1" applyNumberFormat="1" applyFont="1" applyFill="1" applyBorder="1"/>
    <xf numFmtId="187" fontId="19" fillId="11" borderId="1" xfId="1" applyNumberFormat="1" applyFont="1" applyFill="1" applyBorder="1"/>
    <xf numFmtId="14" fontId="15" fillId="0" borderId="1" xfId="0" applyNumberFormat="1" applyFont="1" applyBorder="1" applyAlignment="1">
      <alignment horizontal="center" vertical="center"/>
    </xf>
    <xf numFmtId="188" fontId="2" fillId="0" borderId="1" xfId="0" applyNumberFormat="1" applyFont="1" applyBorder="1"/>
    <xf numFmtId="43" fontId="2" fillId="12" borderId="1" xfId="1" applyFont="1" applyFill="1" applyBorder="1"/>
    <xf numFmtId="189" fontId="2" fillId="12" borderId="1" xfId="0" applyNumberFormat="1" applyFont="1" applyFill="1" applyBorder="1"/>
    <xf numFmtId="188" fontId="2" fillId="12" borderId="1" xfId="0" applyNumberFormat="1" applyFont="1" applyFill="1" applyBorder="1"/>
    <xf numFmtId="189" fontId="4" fillId="12" borderId="1" xfId="0" applyNumberFormat="1" applyFont="1" applyFill="1" applyBorder="1"/>
    <xf numFmtId="10" fontId="2" fillId="12" borderId="1" xfId="0" applyNumberFormat="1" applyFont="1" applyFill="1" applyBorder="1" applyAlignment="1">
      <alignment horizontal="center" vertical="center"/>
    </xf>
    <xf numFmtId="43" fontId="2" fillId="12" borderId="1" xfId="1" applyFont="1" applyFill="1" applyBorder="1" applyAlignment="1">
      <alignment horizontal="center" vertical="center"/>
    </xf>
    <xf numFmtId="188" fontId="2" fillId="12" borderId="1" xfId="0" applyNumberFormat="1" applyFont="1" applyFill="1" applyBorder="1" applyAlignment="1">
      <alignment horizontal="center" vertical="center"/>
    </xf>
    <xf numFmtId="170" fontId="1" fillId="0" borderId="15" xfId="1" applyNumberFormat="1" applyFont="1" applyFill="1" applyBorder="1" applyAlignment="1">
      <alignment vertical="center"/>
    </xf>
    <xf numFmtId="170" fontId="1" fillId="0" borderId="1" xfId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10" fontId="2" fillId="12" borderId="3" xfId="0" applyNumberFormat="1" applyFont="1" applyFill="1" applyBorder="1" applyAlignment="1">
      <alignment horizontal="center" vertical="center"/>
    </xf>
    <xf numFmtId="10" fontId="2" fillId="12" borderId="16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79" fontId="2" fillId="12" borderId="1" xfId="0" applyNumberFormat="1" applyFont="1" applyFill="1" applyBorder="1" applyAlignment="1">
      <alignment horizontal="center" vertical="center"/>
    </xf>
    <xf numFmtId="179" fontId="2" fillId="12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9" fontId="2" fillId="9" borderId="24" xfId="0" applyNumberFormat="1" applyFont="1" applyFill="1" applyBorder="1" applyAlignment="1">
      <alignment horizontal="center" vertical="center"/>
    </xf>
    <xf numFmtId="179" fontId="2" fillId="9" borderId="18" xfId="0" applyNumberFormat="1" applyFont="1" applyFill="1" applyBorder="1" applyAlignment="1">
      <alignment horizontal="center" vertical="center"/>
    </xf>
    <xf numFmtId="0" fontId="24" fillId="4" borderId="1" xfId="4" applyFont="1" applyFill="1" applyBorder="1" applyAlignment="1">
      <alignment horizontal="center" wrapText="1"/>
    </xf>
    <xf numFmtId="43" fontId="2" fillId="9" borderId="1" xfId="1" applyFont="1" applyFill="1" applyBorder="1"/>
    <xf numFmtId="190" fontId="2" fillId="0" borderId="1" xfId="1" applyNumberFormat="1" applyFont="1" applyFill="1" applyBorder="1"/>
    <xf numFmtId="0" fontId="2" fillId="0" borderId="0" xfId="0" applyFont="1" applyAlignme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33" fillId="4" borderId="3" xfId="2" applyFont="1" applyFill="1" applyBorder="1" applyAlignment="1">
      <alignment horizontal="center" wrapText="1"/>
    </xf>
    <xf numFmtId="0" fontId="33" fillId="4" borderId="7" xfId="2" applyFont="1" applyFill="1" applyBorder="1" applyAlignment="1">
      <alignment horizontal="center" wrapText="1"/>
    </xf>
    <xf numFmtId="0" fontId="33" fillId="4" borderId="4" xfId="2" applyFont="1" applyFill="1" applyBorder="1" applyAlignment="1">
      <alignment horizontal="center" wrapText="1"/>
    </xf>
    <xf numFmtId="0" fontId="33" fillId="4" borderId="16" xfId="2" applyFont="1" applyFill="1" applyBorder="1" applyAlignment="1">
      <alignment horizontal="center"/>
    </xf>
    <xf numFmtId="43" fontId="30" fillId="0" borderId="0" xfId="0" applyNumberFormat="1" applyFont="1"/>
    <xf numFmtId="191" fontId="2" fillId="0" borderId="1" xfId="1" applyNumberFormat="1" applyFont="1" applyBorder="1"/>
    <xf numFmtId="180" fontId="2" fillId="0" borderId="1" xfId="1" applyNumberFormat="1" applyFont="1" applyFill="1" applyBorder="1" applyAlignment="1">
      <alignment vertical="top"/>
    </xf>
    <xf numFmtId="0" fontId="38" fillId="0" borderId="0" xfId="0" applyFont="1" applyAlignment="1">
      <alignment horizontal="center" vertical="center"/>
    </xf>
    <xf numFmtId="171" fontId="35" fillId="0" borderId="1" xfId="1" applyNumberFormat="1" applyFont="1" applyBorder="1" applyAlignment="1">
      <alignment horizontal="center"/>
    </xf>
    <xf numFmtId="0" fontId="2" fillId="0" borderId="33" xfId="0" applyFont="1" applyBorder="1"/>
    <xf numFmtId="43" fontId="2" fillId="0" borderId="0" xfId="1" applyFont="1" applyFill="1" applyBorder="1"/>
    <xf numFmtId="10" fontId="1" fillId="0" borderId="33" xfId="6" applyNumberFormat="1" applyFont="1" applyBorder="1" applyAlignment="1">
      <alignment horizontal="center"/>
    </xf>
    <xf numFmtId="183" fontId="2" fillId="15" borderId="1" xfId="0" applyNumberFormat="1" applyFont="1" applyFill="1" applyBorder="1"/>
    <xf numFmtId="0" fontId="3" fillId="2" borderId="24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43" fontId="2" fillId="0" borderId="0" xfId="1" applyFont="1" applyBorder="1"/>
    <xf numFmtId="183" fontId="2" fillId="21" borderId="1" xfId="0" applyNumberFormat="1" applyFont="1" applyFill="1" applyBorder="1"/>
    <xf numFmtId="0" fontId="30" fillId="0" borderId="33" xfId="0" applyFont="1" applyBorder="1" applyAlignment="1">
      <alignment horizontal="center"/>
    </xf>
    <xf numFmtId="179" fontId="2" fillId="0" borderId="1" xfId="0" applyNumberFormat="1" applyFont="1" applyBorder="1"/>
    <xf numFmtId="170" fontId="2" fillId="0" borderId="1" xfId="0" applyNumberFormat="1" applyFont="1" applyBorder="1"/>
    <xf numFmtId="0" fontId="1" fillId="0" borderId="33" xfId="0" applyFont="1" applyBorder="1"/>
    <xf numFmtId="43" fontId="2" fillId="0" borderId="33" xfId="1" applyFont="1" applyBorder="1"/>
    <xf numFmtId="43" fontId="2" fillId="0" borderId="33" xfId="0" applyNumberFormat="1" applyFont="1" applyBorder="1"/>
    <xf numFmtId="10" fontId="2" fillId="0" borderId="33" xfId="6" applyNumberFormat="1" applyFont="1" applyBorder="1"/>
    <xf numFmtId="171" fontId="0" fillId="0" borderId="0" xfId="0" applyNumberFormat="1"/>
    <xf numFmtId="183" fontId="30" fillId="0" borderId="0" xfId="0" applyNumberFormat="1" applyFont="1"/>
    <xf numFmtId="166" fontId="35" fillId="0" borderId="1" xfId="1" applyNumberFormat="1" applyFont="1" applyBorder="1" applyAlignment="1">
      <alignment horizontal="center" wrapText="1"/>
    </xf>
    <xf numFmtId="0" fontId="42" fillId="0" borderId="0" xfId="0" applyFont="1" applyAlignment="1">
      <alignment horizontal="left" vertical="center"/>
    </xf>
    <xf numFmtId="0" fontId="0" fillId="0" borderId="33" xfId="0" applyBorder="1"/>
    <xf numFmtId="39" fontId="0" fillId="0" borderId="33" xfId="0" applyNumberFormat="1" applyBorder="1"/>
    <xf numFmtId="14" fontId="0" fillId="0" borderId="33" xfId="0" applyNumberFormat="1" applyBorder="1"/>
    <xf numFmtId="9" fontId="2" fillId="3" borderId="33" xfId="0" applyNumberFormat="1" applyFont="1" applyFill="1" applyBorder="1"/>
    <xf numFmtId="10" fontId="2" fillId="3" borderId="33" xfId="0" applyNumberFormat="1" applyFont="1" applyFill="1" applyBorder="1"/>
    <xf numFmtId="0" fontId="2" fillId="3" borderId="33" xfId="0" applyFont="1" applyFill="1" applyBorder="1"/>
    <xf numFmtId="9" fontId="2" fillId="0" borderId="33" xfId="6" applyFont="1" applyFill="1" applyBorder="1"/>
    <xf numFmtId="0" fontId="44" fillId="0" borderId="0" xfId="0" applyFont="1"/>
    <xf numFmtId="10" fontId="2" fillId="0" borderId="1" xfId="0" applyNumberFormat="1" applyFont="1" applyBorder="1" applyAlignment="1">
      <alignment horizontal="center" vertical="center"/>
    </xf>
    <xf numFmtId="193" fontId="2" fillId="0" borderId="0" xfId="0" applyNumberFormat="1" applyFont="1"/>
    <xf numFmtId="0" fontId="0" fillId="7" borderId="33" xfId="0" applyFill="1" applyBorder="1"/>
    <xf numFmtId="165" fontId="0" fillId="0" borderId="33" xfId="11" applyFont="1" applyBorder="1"/>
    <xf numFmtId="0" fontId="7" fillId="2" borderId="6" xfId="0" applyFont="1" applyFill="1" applyBorder="1" applyAlignment="1">
      <alignment horizontal="center" wrapText="1"/>
    </xf>
    <xf numFmtId="0" fontId="7" fillId="2" borderId="33" xfId="0" applyFont="1" applyFill="1" applyBorder="1" applyAlignment="1">
      <alignment horizontal="center" wrapText="1"/>
    </xf>
    <xf numFmtId="14" fontId="0" fillId="7" borderId="33" xfId="0" applyNumberFormat="1" applyFill="1" applyBorder="1"/>
    <xf numFmtId="187" fontId="0" fillId="0" borderId="33" xfId="1" applyNumberFormat="1" applyFont="1" applyBorder="1"/>
    <xf numFmtId="194" fontId="0" fillId="0" borderId="33" xfId="1" applyNumberFormat="1" applyFont="1" applyBorder="1"/>
    <xf numFmtId="0" fontId="0" fillId="0" borderId="4" xfId="0" applyBorder="1"/>
    <xf numFmtId="0" fontId="7" fillId="2" borderId="29" xfId="0" applyFont="1" applyFill="1" applyBorder="1" applyAlignment="1">
      <alignment horizontal="center" wrapText="1"/>
    </xf>
    <xf numFmtId="0" fontId="0" fillId="0" borderId="24" xfId="0" applyBorder="1"/>
    <xf numFmtId="194" fontId="0" fillId="0" borderId="4" xfId="0" applyNumberFormat="1" applyBorder="1"/>
    <xf numFmtId="194" fontId="0" fillId="24" borderId="4" xfId="0" applyNumberFormat="1" applyFill="1" applyBorder="1"/>
    <xf numFmtId="49" fontId="0" fillId="0" borderId="0" xfId="0" applyNumberFormat="1" applyAlignment="1">
      <alignment horizontal="center"/>
    </xf>
    <xf numFmtId="0" fontId="37" fillId="0" borderId="0" xfId="0" applyFont="1"/>
    <xf numFmtId="40" fontId="46" fillId="0" borderId="33" xfId="12" applyNumberFormat="1" applyFont="1" applyBorder="1">
      <alignment vertical="center"/>
    </xf>
    <xf numFmtId="0" fontId="15" fillId="0" borderId="0" xfId="0" applyFont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" fillId="0" borderId="39" xfId="0" applyFont="1" applyBorder="1"/>
    <xf numFmtId="0" fontId="2" fillId="0" borderId="38" xfId="0" applyFont="1" applyBorder="1"/>
    <xf numFmtId="0" fontId="2" fillId="0" borderId="44" xfId="0" applyFont="1" applyBorder="1"/>
    <xf numFmtId="0" fontId="2" fillId="0" borderId="43" xfId="0" applyFont="1" applyBorder="1"/>
    <xf numFmtId="0" fontId="46" fillId="0" borderId="33" xfId="12" applyFont="1" applyBorder="1">
      <alignment vertical="center"/>
    </xf>
    <xf numFmtId="0" fontId="3" fillId="2" borderId="4" xfId="0" applyFont="1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2" fillId="0" borderId="53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14" fontId="0" fillId="3" borderId="33" xfId="0" applyNumberFormat="1" applyFill="1" applyBorder="1" applyAlignment="1">
      <alignment horizontal="center"/>
    </xf>
    <xf numFmtId="0" fontId="48" fillId="0" borderId="0" xfId="13" applyFont="1" applyAlignment="1">
      <alignment wrapText="1"/>
    </xf>
    <xf numFmtId="0" fontId="15" fillId="0" borderId="0" xfId="0" applyFont="1" applyAlignment="1">
      <alignment horizontal="left"/>
    </xf>
    <xf numFmtId="171" fontId="1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vertical="center"/>
    </xf>
    <xf numFmtId="0" fontId="3" fillId="26" borderId="24" xfId="0" applyFont="1" applyFill="1" applyBorder="1" applyAlignment="1">
      <alignment vertical="center"/>
    </xf>
    <xf numFmtId="0" fontId="3" fillId="26" borderId="1" xfId="4" applyFont="1" applyFill="1" applyBorder="1" applyAlignment="1">
      <alignment horizontal="center" wrapText="1"/>
    </xf>
    <xf numFmtId="0" fontId="3" fillId="26" borderId="33" xfId="0" applyFont="1" applyFill="1" applyBorder="1" applyAlignment="1">
      <alignment vertical="center"/>
    </xf>
    <xf numFmtId="0" fontId="8" fillId="6" borderId="33" xfId="0" applyFont="1" applyFill="1" applyBorder="1"/>
    <xf numFmtId="14" fontId="8" fillId="6" borderId="33" xfId="0" applyNumberFormat="1" applyFont="1" applyFill="1" applyBorder="1"/>
    <xf numFmtId="0" fontId="49" fillId="0" borderId="0" xfId="0" applyFont="1"/>
    <xf numFmtId="0" fontId="8" fillId="0" borderId="0" xfId="0" applyFont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0" borderId="33" xfId="1" applyNumberFormat="1" applyFont="1" applyBorder="1" applyAlignment="1">
      <alignment horizontal="center"/>
    </xf>
    <xf numFmtId="2" fontId="8" fillId="0" borderId="33" xfId="1" applyNumberFormat="1" applyFont="1" applyBorder="1" applyAlignment="1">
      <alignment horizontal="center"/>
    </xf>
    <xf numFmtId="39" fontId="8" fillId="0" borderId="33" xfId="0" applyNumberFormat="1" applyFont="1" applyBorder="1"/>
    <xf numFmtId="0" fontId="7" fillId="26" borderId="1" xfId="0" applyFont="1" applyFill="1" applyBorder="1"/>
    <xf numFmtId="0" fontId="7" fillId="26" borderId="2" xfId="0" applyFont="1" applyFill="1" applyBorder="1"/>
    <xf numFmtId="0" fontId="3" fillId="26" borderId="1" xfId="0" applyFont="1" applyFill="1" applyBorder="1"/>
    <xf numFmtId="0" fontId="3" fillId="26" borderId="5" xfId="0" applyFont="1" applyFill="1" applyBorder="1"/>
    <xf numFmtId="0" fontId="2" fillId="0" borderId="55" xfId="0" applyFont="1" applyBorder="1"/>
    <xf numFmtId="0" fontId="2" fillId="0" borderId="55" xfId="0" quotePrefix="1" applyFont="1" applyBorder="1"/>
    <xf numFmtId="168" fontId="2" fillId="0" borderId="55" xfId="0" applyNumberFormat="1" applyFont="1" applyBorder="1" applyAlignment="1">
      <alignment horizontal="center"/>
    </xf>
    <xf numFmtId="0" fontId="12" fillId="0" borderId="0" xfId="0" applyFont="1"/>
    <xf numFmtId="0" fontId="50" fillId="0" borderId="0" xfId="0" applyFont="1"/>
    <xf numFmtId="168" fontId="5" fillId="0" borderId="1" xfId="1" applyNumberFormat="1" applyFont="1" applyFill="1" applyBorder="1" applyAlignment="1">
      <alignment horizontal="center"/>
    </xf>
    <xf numFmtId="168" fontId="4" fillId="0" borderId="1" xfId="1" applyNumberFormat="1" applyFont="1" applyFill="1" applyBorder="1" applyAlignment="1">
      <alignment horizontal="center"/>
    </xf>
    <xf numFmtId="2" fontId="7" fillId="26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/>
    <xf numFmtId="0" fontId="2" fillId="0" borderId="56" xfId="0" applyFont="1" applyBorder="1"/>
    <xf numFmtId="0" fontId="2" fillId="0" borderId="58" xfId="0" applyFont="1" applyBorder="1"/>
    <xf numFmtId="0" fontId="2" fillId="0" borderId="59" xfId="0" applyFont="1" applyBorder="1"/>
    <xf numFmtId="0" fontId="2" fillId="0" borderId="60" xfId="0" applyFont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37" fillId="0" borderId="0" xfId="0" applyFont="1" applyAlignment="1">
      <alignment horizontal="center"/>
    </xf>
    <xf numFmtId="0" fontId="37" fillId="0" borderId="57" xfId="0" applyFont="1" applyBorder="1" applyAlignment="1">
      <alignment horizontal="center"/>
    </xf>
    <xf numFmtId="166" fontId="35" fillId="3" borderId="33" xfId="1" applyNumberFormat="1" applyFont="1" applyFill="1" applyBorder="1" applyAlignment="1">
      <alignment horizontal="center"/>
    </xf>
    <xf numFmtId="43" fontId="30" fillId="12" borderId="33" xfId="1" applyFont="1" applyFill="1" applyBorder="1"/>
    <xf numFmtId="0" fontId="34" fillId="15" borderId="33" xfId="0" applyFont="1" applyFill="1" applyBorder="1" applyAlignment="1">
      <alignment horizontal="center"/>
    </xf>
    <xf numFmtId="0" fontId="30" fillId="18" borderId="33" xfId="0" applyFont="1" applyFill="1" applyBorder="1" applyAlignment="1">
      <alignment horizontal="center"/>
    </xf>
    <xf numFmtId="0" fontId="34" fillId="17" borderId="33" xfId="0" applyFont="1" applyFill="1" applyBorder="1" applyAlignment="1">
      <alignment horizontal="center"/>
    </xf>
    <xf numFmtId="0" fontId="30" fillId="0" borderId="62" xfId="0" applyFont="1" applyBorder="1"/>
    <xf numFmtId="171" fontId="15" fillId="0" borderId="0" xfId="0" applyNumberFormat="1" applyFont="1" applyAlignment="1">
      <alignment horizontal="center"/>
    </xf>
    <xf numFmtId="1" fontId="0" fillId="0" borderId="33" xfId="0" applyNumberFormat="1" applyBorder="1"/>
    <xf numFmtId="0" fontId="2" fillId="0" borderId="62" xfId="0" applyFont="1" applyBorder="1"/>
    <xf numFmtId="0" fontId="3" fillId="4" borderId="3" xfId="4" applyFont="1" applyFill="1" applyBorder="1" applyAlignment="1">
      <alignment horizontal="center" wrapText="1"/>
    </xf>
    <xf numFmtId="166" fontId="2" fillId="12" borderId="16" xfId="1" applyNumberFormat="1" applyFont="1" applyFill="1" applyBorder="1" applyAlignment="1">
      <alignment horizontal="center" vertical="center"/>
    </xf>
    <xf numFmtId="0" fontId="2" fillId="3" borderId="15" xfId="0" applyFont="1" applyFill="1" applyBorder="1"/>
    <xf numFmtId="14" fontId="2" fillId="3" borderId="33" xfId="0" applyNumberFormat="1" applyFont="1" applyFill="1" applyBorder="1"/>
    <xf numFmtId="0" fontId="1" fillId="0" borderId="62" xfId="0" applyFont="1" applyBorder="1" applyAlignment="1">
      <alignment horizontal="right"/>
    </xf>
    <xf numFmtId="43" fontId="24" fillId="0" borderId="62" xfId="0" applyNumberFormat="1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10" fontId="2" fillId="0" borderId="1" xfId="6" applyNumberFormat="1" applyFont="1" applyFill="1" applyBorder="1"/>
    <xf numFmtId="0" fontId="3" fillId="4" borderId="15" xfId="4" applyFont="1" applyFill="1" applyBorder="1" applyAlignment="1">
      <alignment horizontal="center" wrapText="1"/>
    </xf>
    <xf numFmtId="0" fontId="4" fillId="0" borderId="11" xfId="4" applyFont="1" applyBorder="1" applyAlignment="1">
      <alignment horizontal="left" vertical="center" wrapText="1"/>
    </xf>
    <xf numFmtId="43" fontId="4" fillId="0" borderId="13" xfId="1" applyFont="1" applyFill="1" applyBorder="1" applyAlignment="1">
      <alignment horizontal="center"/>
    </xf>
    <xf numFmtId="0" fontId="4" fillId="0" borderId="47" xfId="4" applyFont="1" applyBorder="1" applyAlignment="1">
      <alignment horizontal="left" vertical="center" wrapText="1"/>
    </xf>
    <xf numFmtId="43" fontId="4" fillId="0" borderId="64" xfId="1" applyFont="1" applyFill="1" applyBorder="1" applyAlignment="1">
      <alignment horizontal="center"/>
    </xf>
    <xf numFmtId="0" fontId="4" fillId="0" borderId="14" xfId="4" applyFont="1" applyBorder="1" applyAlignment="1">
      <alignment horizontal="left"/>
    </xf>
    <xf numFmtId="43" fontId="4" fillId="0" borderId="10" xfId="1" applyFont="1" applyFill="1" applyBorder="1" applyAlignment="1">
      <alignment horizontal="center"/>
    </xf>
    <xf numFmtId="0" fontId="2" fillId="0" borderId="11" xfId="0" applyFont="1" applyBorder="1"/>
    <xf numFmtId="0" fontId="2" fillId="0" borderId="47" xfId="0" applyFont="1" applyBorder="1"/>
    <xf numFmtId="0" fontId="2" fillId="19" borderId="47" xfId="0" applyFont="1" applyFill="1" applyBorder="1"/>
    <xf numFmtId="43" fontId="4" fillId="19" borderId="64" xfId="1" applyFont="1" applyFill="1" applyBorder="1" applyAlignment="1">
      <alignment horizontal="center"/>
    </xf>
    <xf numFmtId="0" fontId="2" fillId="19" borderId="14" xfId="0" applyFont="1" applyFill="1" applyBorder="1"/>
    <xf numFmtId="43" fontId="4" fillId="19" borderId="10" xfId="1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 vertical="center"/>
    </xf>
    <xf numFmtId="0" fontId="33" fillId="2" borderId="3" xfId="2" applyFont="1" applyFill="1" applyBorder="1" applyAlignment="1">
      <alignment horizontal="center" wrapText="1"/>
    </xf>
    <xf numFmtId="0" fontId="33" fillId="2" borderId="7" xfId="2" applyFont="1" applyFill="1" applyBorder="1" applyAlignment="1">
      <alignment horizontal="center" wrapText="1"/>
    </xf>
    <xf numFmtId="0" fontId="33" fillId="2" borderId="4" xfId="2" applyFont="1" applyFill="1" applyBorder="1" applyAlignment="1">
      <alignment horizontal="center" wrapText="1"/>
    </xf>
    <xf numFmtId="180" fontId="2" fillId="0" borderId="0" xfId="1" applyNumberFormat="1" applyFont="1" applyBorder="1" applyAlignment="1">
      <alignment vertical="top"/>
    </xf>
    <xf numFmtId="0" fontId="3" fillId="0" borderId="0" xfId="2" applyFont="1"/>
    <xf numFmtId="0" fontId="3" fillId="0" borderId="0" xfId="2" applyFont="1" applyAlignment="1">
      <alignment horizontal="center"/>
    </xf>
    <xf numFmtId="170" fontId="0" fillId="0" borderId="0" xfId="0" applyNumberFormat="1"/>
    <xf numFmtId="0" fontId="3" fillId="4" borderId="3" xfId="4" applyFont="1" applyFill="1" applyBorder="1" applyAlignment="1">
      <alignment wrapText="1"/>
    </xf>
    <xf numFmtId="0" fontId="3" fillId="4" borderId="4" xfId="4" applyFont="1" applyFill="1" applyBorder="1" applyAlignment="1">
      <alignment wrapText="1"/>
    </xf>
    <xf numFmtId="0" fontId="7" fillId="4" borderId="1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0" borderId="33" xfId="0" applyFont="1" applyBorder="1" applyAlignment="1">
      <alignment horizontal="center"/>
    </xf>
    <xf numFmtId="183" fontId="2" fillId="0" borderId="0" xfId="0" applyNumberFormat="1" applyFont="1"/>
    <xf numFmtId="170" fontId="2" fillId="0" borderId="0" xfId="0" applyNumberFormat="1" applyFont="1"/>
    <xf numFmtId="170" fontId="2" fillId="0" borderId="1" xfId="1" applyNumberFormat="1" applyFont="1" applyBorder="1"/>
    <xf numFmtId="0" fontId="2" fillId="0" borderId="15" xfId="0" applyFont="1" applyBorder="1"/>
    <xf numFmtId="43" fontId="2" fillId="0" borderId="24" xfId="1" applyFont="1" applyBorder="1"/>
    <xf numFmtId="43" fontId="2" fillId="0" borderId="16" xfId="0" applyNumberFormat="1" applyFont="1" applyBorder="1"/>
    <xf numFmtId="184" fontId="2" fillId="0" borderId="0" xfId="0" applyNumberFormat="1" applyFont="1"/>
    <xf numFmtId="184" fontId="2" fillId="0" borderId="1" xfId="1" applyNumberFormat="1" applyFont="1" applyBorder="1"/>
    <xf numFmtId="0" fontId="2" fillId="9" borderId="0" xfId="0" applyFont="1" applyFill="1"/>
    <xf numFmtId="0" fontId="2" fillId="0" borderId="24" xfId="0" applyFont="1" applyBorder="1"/>
    <xf numFmtId="192" fontId="2" fillId="0" borderId="4" xfId="1" applyNumberFormat="1" applyFont="1" applyFill="1" applyBorder="1"/>
    <xf numFmtId="192" fontId="2" fillId="0" borderId="3" xfId="1" applyNumberFormat="1" applyFont="1" applyFill="1" applyBorder="1"/>
    <xf numFmtId="0" fontId="2" fillId="0" borderId="6" xfId="0" applyFont="1" applyBorder="1"/>
    <xf numFmtId="192" fontId="2" fillId="9" borderId="4" xfId="1" applyNumberFormat="1" applyFont="1" applyFill="1" applyBorder="1"/>
    <xf numFmtId="192" fontId="2" fillId="9" borderId="23" xfId="1" applyNumberFormat="1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0" borderId="4" xfId="0" applyFont="1" applyBorder="1"/>
    <xf numFmtId="170" fontId="2" fillId="0" borderId="33" xfId="0" applyNumberFormat="1" applyFont="1" applyBorder="1"/>
    <xf numFmtId="185" fontId="2" fillId="0" borderId="1" xfId="0" applyNumberFormat="1" applyFont="1" applyBorder="1"/>
    <xf numFmtId="185" fontId="2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92" fontId="2" fillId="9" borderId="33" xfId="1" applyNumberFormat="1" applyFont="1" applyFill="1" applyBorder="1"/>
    <xf numFmtId="171" fontId="2" fillId="0" borderId="0" xfId="0" applyNumberFormat="1" applyFont="1"/>
    <xf numFmtId="0" fontId="7" fillId="2" borderId="33" xfId="0" applyFont="1" applyFill="1" applyBorder="1" applyAlignment="1">
      <alignment horizontal="center"/>
    </xf>
    <xf numFmtId="195" fontId="2" fillId="3" borderId="53" xfId="0" applyNumberFormat="1" applyFont="1" applyFill="1" applyBorder="1"/>
    <xf numFmtId="195" fontId="2" fillId="25" borderId="53" xfId="0" applyNumberFormat="1" applyFont="1" applyFill="1" applyBorder="1"/>
    <xf numFmtId="195" fontId="2" fillId="25" borderId="42" xfId="0" applyNumberFormat="1" applyFont="1" applyFill="1" applyBorder="1"/>
    <xf numFmtId="195" fontId="2" fillId="3" borderId="0" xfId="0" applyNumberFormat="1" applyFont="1" applyFill="1"/>
    <xf numFmtId="195" fontId="2" fillId="25" borderId="0" xfId="0" applyNumberFormat="1" applyFont="1" applyFill="1"/>
    <xf numFmtId="195" fontId="2" fillId="25" borderId="17" xfId="0" applyNumberFormat="1" applyFont="1" applyFill="1" applyBorder="1"/>
    <xf numFmtId="195" fontId="2" fillId="25" borderId="38" xfId="0" applyNumberFormat="1" applyFont="1" applyFill="1" applyBorder="1"/>
    <xf numFmtId="195" fontId="2" fillId="0" borderId="38" xfId="0" applyNumberFormat="1" applyFont="1" applyBorder="1"/>
    <xf numFmtId="195" fontId="2" fillId="25" borderId="51" xfId="0" applyNumberFormat="1" applyFont="1" applyFill="1" applyBorder="1"/>
    <xf numFmtId="195" fontId="2" fillId="0" borderId="53" xfId="0" applyNumberFormat="1" applyFont="1" applyBorder="1"/>
    <xf numFmtId="195" fontId="2" fillId="0" borderId="0" xfId="0" applyNumberFormat="1" applyFont="1"/>
    <xf numFmtId="195" fontId="2" fillId="25" borderId="44" xfId="0" applyNumberFormat="1" applyFont="1" applyFill="1" applyBorder="1"/>
    <xf numFmtId="195" fontId="2" fillId="0" borderId="44" xfId="0" applyNumberFormat="1" applyFont="1" applyBorder="1"/>
    <xf numFmtId="195" fontId="2" fillId="0" borderId="45" xfId="0" applyNumberFormat="1" applyFont="1" applyBorder="1"/>
    <xf numFmtId="195" fontId="2" fillId="0" borderId="42" xfId="0" applyNumberFormat="1" applyFont="1" applyBorder="1"/>
    <xf numFmtId="195" fontId="2" fillId="0" borderId="51" xfId="0" applyNumberFormat="1" applyFont="1" applyBorder="1"/>
    <xf numFmtId="195" fontId="2" fillId="25" borderId="45" xfId="0" applyNumberFormat="1" applyFont="1" applyFill="1" applyBorder="1"/>
    <xf numFmtId="0" fontId="2" fillId="3" borderId="53" xfId="0" applyFont="1" applyFill="1" applyBorder="1"/>
    <xf numFmtId="0" fontId="2" fillId="3" borderId="0" xfId="0" applyFont="1" applyFill="1"/>
    <xf numFmtId="0" fontId="2" fillId="3" borderId="38" xfId="0" applyFont="1" applyFill="1" applyBorder="1"/>
    <xf numFmtId="0" fontId="40" fillId="23" borderId="33" xfId="0" applyFont="1" applyFill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2" fontId="41" fillId="0" borderId="33" xfId="0" applyNumberFormat="1" applyFont="1" applyBorder="1" applyAlignment="1">
      <alignment horizontal="center" vertical="center"/>
    </xf>
    <xf numFmtId="0" fontId="40" fillId="23" borderId="33" xfId="0" applyFont="1" applyFill="1" applyBorder="1" applyAlignment="1">
      <alignment horizontal="center" vertical="center" wrapText="1"/>
    </xf>
    <xf numFmtId="2" fontId="41" fillId="0" borderId="33" xfId="0" applyNumberFormat="1" applyFont="1" applyBorder="1" applyAlignment="1">
      <alignment horizontal="center" vertical="center" wrapText="1"/>
    </xf>
    <xf numFmtId="179" fontId="41" fillId="0" borderId="33" xfId="0" applyNumberFormat="1" applyFont="1" applyBorder="1" applyAlignment="1">
      <alignment horizontal="center" vertical="center" wrapText="1"/>
    </xf>
    <xf numFmtId="10" fontId="41" fillId="0" borderId="33" xfId="0" applyNumberFormat="1" applyFont="1" applyBorder="1" applyAlignment="1">
      <alignment horizontal="center" vertical="center"/>
    </xf>
    <xf numFmtId="43" fontId="41" fillId="0" borderId="33" xfId="1" applyFont="1" applyBorder="1" applyAlignment="1">
      <alignment horizontal="center" vertical="center" wrapText="1"/>
    </xf>
    <xf numFmtId="43" fontId="43" fillId="0" borderId="33" xfId="1" applyFont="1" applyBorder="1" applyAlignment="1">
      <alignment horizontal="center" vertical="center" wrapText="1"/>
    </xf>
    <xf numFmtId="49" fontId="0" fillId="0" borderId="0" xfId="0" applyNumberFormat="1"/>
    <xf numFmtId="0" fontId="1" fillId="25" borderId="0" xfId="0" applyFont="1" applyFill="1"/>
    <xf numFmtId="0" fontId="1" fillId="3" borderId="0" xfId="0" applyFont="1" applyFill="1"/>
    <xf numFmtId="0" fontId="8" fillId="3" borderId="0" xfId="0" applyFont="1" applyFill="1"/>
    <xf numFmtId="0" fontId="8" fillId="25" borderId="0" xfId="0" applyFont="1" applyFill="1"/>
    <xf numFmtId="49" fontId="0" fillId="3" borderId="33" xfId="0" applyNumberFormat="1" applyFill="1" applyBorder="1"/>
    <xf numFmtId="180" fontId="0" fillId="3" borderId="33" xfId="1" applyNumberFormat="1" applyFont="1" applyFill="1" applyBorder="1"/>
    <xf numFmtId="166" fontId="0" fillId="3" borderId="33" xfId="1" applyNumberFormat="1" applyFont="1" applyFill="1" applyBorder="1"/>
    <xf numFmtId="0" fontId="8" fillId="3" borderId="33" xfId="0" applyFont="1" applyFill="1" applyBorder="1"/>
    <xf numFmtId="165" fontId="0" fillId="25" borderId="33" xfId="11" applyFont="1" applyFill="1" applyBorder="1"/>
    <xf numFmtId="9" fontId="0" fillId="3" borderId="33" xfId="0" applyNumberFormat="1" applyFill="1" applyBorder="1"/>
    <xf numFmtId="10" fontId="0" fillId="25" borderId="33" xfId="6" applyNumberFormat="1" applyFont="1" applyFill="1" applyBorder="1"/>
    <xf numFmtId="165" fontId="8" fillId="0" borderId="33" xfId="0" applyNumberFormat="1" applyFont="1" applyBorder="1"/>
    <xf numFmtId="0" fontId="0" fillId="0" borderId="62" xfId="0" applyBorder="1"/>
    <xf numFmtId="194" fontId="0" fillId="0" borderId="33" xfId="1" applyNumberFormat="1" applyFont="1" applyFill="1" applyBorder="1"/>
    <xf numFmtId="0" fontId="0" fillId="11" borderId="15" xfId="0" applyFill="1" applyBorder="1"/>
    <xf numFmtId="194" fontId="0" fillId="11" borderId="33" xfId="1" applyNumberFormat="1" applyFont="1" applyFill="1" applyBorder="1"/>
    <xf numFmtId="0" fontId="0" fillId="11" borderId="24" xfId="0" applyFill="1" applyBorder="1"/>
    <xf numFmtId="194" fontId="0" fillId="11" borderId="4" xfId="0" applyNumberFormat="1" applyFill="1" applyBorder="1"/>
    <xf numFmtId="0" fontId="0" fillId="11" borderId="16" xfId="0" applyFill="1" applyBorder="1"/>
    <xf numFmtId="194" fontId="8" fillId="24" borderId="4" xfId="0" applyNumberFormat="1" applyFont="1" applyFill="1" applyBorder="1"/>
    <xf numFmtId="0" fontId="7" fillId="2" borderId="43" xfId="0" applyFont="1" applyFill="1" applyBorder="1" applyAlignment="1">
      <alignment horizontal="center" wrapText="1"/>
    </xf>
    <xf numFmtId="0" fontId="7" fillId="2" borderId="67" xfId="0" applyFont="1" applyFill="1" applyBorder="1" applyAlignment="1">
      <alignment horizontal="center" wrapText="1"/>
    </xf>
    <xf numFmtId="0" fontId="7" fillId="2" borderId="20" xfId="0" applyFont="1" applyFill="1" applyBorder="1" applyAlignment="1">
      <alignment horizontal="center" wrapText="1"/>
    </xf>
    <xf numFmtId="0" fontId="57" fillId="0" borderId="11" xfId="12" applyFont="1" applyBorder="1" applyAlignment="1">
      <alignment horizontal="center" vertical="center"/>
    </xf>
    <xf numFmtId="0" fontId="57" fillId="0" borderId="12" xfId="12" applyFont="1" applyBorder="1" applyAlignment="1">
      <alignment horizontal="center" vertical="center"/>
    </xf>
    <xf numFmtId="196" fontId="2" fillId="0" borderId="65" xfId="0" applyNumberFormat="1" applyFont="1" applyBorder="1" applyAlignment="1">
      <alignment horizontal="center"/>
    </xf>
    <xf numFmtId="0" fontId="57" fillId="0" borderId="12" xfId="12" applyFont="1" applyBorder="1">
      <alignment vertical="center"/>
    </xf>
    <xf numFmtId="194" fontId="2" fillId="0" borderId="65" xfId="0" applyNumberFormat="1" applyFont="1" applyBorder="1"/>
    <xf numFmtId="0" fontId="57" fillId="0" borderId="47" xfId="12" applyFont="1" applyBorder="1" applyAlignment="1">
      <alignment horizontal="center" vertical="center"/>
    </xf>
    <xf numFmtId="0" fontId="57" fillId="0" borderId="33" xfId="12" applyFont="1" applyBorder="1" applyAlignment="1">
      <alignment horizontal="center" vertical="center"/>
    </xf>
    <xf numFmtId="0" fontId="57" fillId="0" borderId="33" xfId="12" applyFont="1" applyBorder="1">
      <alignment vertical="center"/>
    </xf>
    <xf numFmtId="194" fontId="2" fillId="0" borderId="37" xfId="0" applyNumberFormat="1" applyFont="1" applyBorder="1"/>
    <xf numFmtId="0" fontId="57" fillId="0" borderId="14" xfId="12" applyFont="1" applyBorder="1" applyAlignment="1">
      <alignment horizontal="center" vertical="center"/>
    </xf>
    <xf numFmtId="0" fontId="57" fillId="0" borderId="9" xfId="12" applyFont="1" applyBorder="1" applyAlignment="1">
      <alignment horizontal="center" vertical="center"/>
    </xf>
    <xf numFmtId="0" fontId="57" fillId="0" borderId="9" xfId="12" applyFont="1" applyBorder="1">
      <alignment vertical="center"/>
    </xf>
    <xf numFmtId="194" fontId="2" fillId="0" borderId="66" xfId="0" applyNumberFormat="1" applyFont="1" applyBorder="1"/>
    <xf numFmtId="0" fontId="57" fillId="11" borderId="47" xfId="12" applyFont="1" applyFill="1" applyBorder="1" applyAlignment="1">
      <alignment horizontal="center" vertical="center"/>
    </xf>
    <xf numFmtId="0" fontId="57" fillId="11" borderId="33" xfId="12" applyFont="1" applyFill="1" applyBorder="1" applyAlignment="1">
      <alignment horizontal="center" vertical="center"/>
    </xf>
    <xf numFmtId="0" fontId="57" fillId="11" borderId="33" xfId="12" applyFont="1" applyFill="1" applyBorder="1">
      <alignment vertical="center"/>
    </xf>
    <xf numFmtId="0" fontId="57" fillId="11" borderId="14" xfId="12" applyFont="1" applyFill="1" applyBorder="1" applyAlignment="1">
      <alignment horizontal="center" vertical="center"/>
    </xf>
    <xf numFmtId="0" fontId="57" fillId="11" borderId="9" xfId="12" applyFont="1" applyFill="1" applyBorder="1" applyAlignment="1">
      <alignment horizontal="center" vertical="center"/>
    </xf>
    <xf numFmtId="0" fontId="57" fillId="11" borderId="9" xfId="12" applyFont="1" applyFill="1" applyBorder="1">
      <alignment vertical="center"/>
    </xf>
    <xf numFmtId="0" fontId="57" fillId="3" borderId="12" xfId="12" applyFont="1" applyFill="1" applyBorder="1" applyAlignment="1">
      <alignment horizontal="center" vertical="center"/>
    </xf>
    <xf numFmtId="194" fontId="2" fillId="3" borderId="65" xfId="0" applyNumberFormat="1" applyFont="1" applyFill="1" applyBorder="1"/>
    <xf numFmtId="49" fontId="2" fillId="0" borderId="0" xfId="0" applyNumberFormat="1" applyFont="1"/>
    <xf numFmtId="194" fontId="2" fillId="3" borderId="37" xfId="0" applyNumberFormat="1" applyFont="1" applyFill="1" applyBorder="1"/>
    <xf numFmtId="194" fontId="2" fillId="3" borderId="66" xfId="0" applyNumberFormat="1" applyFont="1" applyFill="1" applyBorder="1"/>
    <xf numFmtId="0" fontId="3" fillId="26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 vertical="center"/>
    </xf>
    <xf numFmtId="0" fontId="3" fillId="6" borderId="1" xfId="4" applyFont="1" applyFill="1" applyBorder="1" applyAlignment="1">
      <alignment horizontal="center" wrapText="1"/>
    </xf>
    <xf numFmtId="0" fontId="3" fillId="15" borderId="1" xfId="4" applyFont="1" applyFill="1" applyBorder="1" applyAlignment="1">
      <alignment horizontal="center" wrapText="1"/>
    </xf>
    <xf numFmtId="0" fontId="3" fillId="17" borderId="1" xfId="4" applyFont="1" applyFill="1" applyBorder="1" applyAlignment="1">
      <alignment horizontal="center" wrapText="1"/>
    </xf>
    <xf numFmtId="0" fontId="3" fillId="16" borderId="1" xfId="4" applyFont="1" applyFill="1" applyBorder="1" applyAlignment="1">
      <alignment horizontal="center" wrapText="1"/>
    </xf>
    <xf numFmtId="0" fontId="3" fillId="18" borderId="1" xfId="4" applyFont="1" applyFill="1" applyBorder="1" applyAlignment="1">
      <alignment horizontal="center" wrapText="1"/>
    </xf>
    <xf numFmtId="0" fontId="7" fillId="6" borderId="1" xfId="4" applyFont="1" applyFill="1" applyBorder="1" applyAlignment="1">
      <alignment horizontal="center" wrapText="1"/>
    </xf>
    <xf numFmtId="0" fontId="7" fillId="15" borderId="1" xfId="4" applyFont="1" applyFill="1" applyBorder="1" applyAlignment="1">
      <alignment horizontal="center" wrapText="1"/>
    </xf>
    <xf numFmtId="0" fontId="7" fillId="17" borderId="1" xfId="4" applyFont="1" applyFill="1" applyBorder="1" applyAlignment="1">
      <alignment horizontal="center" wrapText="1"/>
    </xf>
    <xf numFmtId="0" fontId="7" fillId="16" borderId="1" xfId="4" applyFont="1" applyFill="1" applyBorder="1" applyAlignment="1">
      <alignment horizontal="center" wrapText="1"/>
    </xf>
    <xf numFmtId="0" fontId="7" fillId="18" borderId="1" xfId="4" applyFont="1" applyFill="1" applyBorder="1" applyAlignment="1">
      <alignment horizontal="center" wrapText="1"/>
    </xf>
    <xf numFmtId="0" fontId="7" fillId="26" borderId="1" xfId="4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/>
    </xf>
    <xf numFmtId="0" fontId="13" fillId="4" borderId="33" xfId="4" applyFont="1" applyFill="1" applyBorder="1" applyAlignment="1">
      <alignment horizontal="center" vertical="center" wrapText="1"/>
    </xf>
    <xf numFmtId="164" fontId="13" fillId="4" borderId="33" xfId="4" applyNumberFormat="1" applyFont="1" applyFill="1" applyBorder="1" applyAlignment="1">
      <alignment horizontal="center" vertical="center" wrapText="1"/>
    </xf>
    <xf numFmtId="0" fontId="1" fillId="14" borderId="0" xfId="0" applyFont="1" applyFill="1"/>
    <xf numFmtId="0" fontId="2" fillId="14" borderId="0" xfId="0" applyFont="1" applyFill="1"/>
    <xf numFmtId="0" fontId="2" fillId="14" borderId="0" xfId="0" quotePrefix="1" applyFont="1" applyFill="1"/>
    <xf numFmtId="168" fontId="2" fillId="14" borderId="0" xfId="0" applyNumberFormat="1" applyFont="1" applyFill="1" applyAlignment="1">
      <alignment horizontal="center"/>
    </xf>
    <xf numFmtId="0" fontId="2" fillId="14" borderId="55" xfId="0" applyFont="1" applyFill="1" applyBorder="1"/>
    <xf numFmtId="2" fontId="2" fillId="9" borderId="1" xfId="1" applyNumberFormat="1" applyFont="1" applyFill="1" applyBorder="1"/>
    <xf numFmtId="10" fontId="2" fillId="9" borderId="1" xfId="1" applyNumberFormat="1" applyFont="1" applyFill="1" applyBorder="1"/>
    <xf numFmtId="10" fontId="2" fillId="9" borderId="1" xfId="6" applyNumberFormat="1" applyFont="1" applyFill="1" applyBorder="1"/>
    <xf numFmtId="0" fontId="2" fillId="14" borderId="62" xfId="0" applyFont="1" applyFill="1" applyBorder="1"/>
    <xf numFmtId="43" fontId="2" fillId="9" borderId="54" xfId="1" applyFont="1" applyFill="1" applyBorder="1"/>
    <xf numFmtId="43" fontId="2" fillId="9" borderId="39" xfId="1" applyFont="1" applyFill="1" applyBorder="1"/>
    <xf numFmtId="43" fontId="2" fillId="9" borderId="0" xfId="1" applyFont="1" applyFill="1" applyBorder="1"/>
    <xf numFmtId="43" fontId="2" fillId="9" borderId="17" xfId="1" applyFont="1" applyFill="1" applyBorder="1"/>
    <xf numFmtId="0" fontId="41" fillId="0" borderId="33" xfId="0" applyFont="1" applyBorder="1" applyAlignment="1">
      <alignment vertical="center" wrapText="1"/>
    </xf>
    <xf numFmtId="0" fontId="41" fillId="0" borderId="33" xfId="0" applyFont="1" applyBorder="1" applyAlignment="1">
      <alignment horizontal="center" vertical="center" wrapText="1"/>
    </xf>
    <xf numFmtId="0" fontId="2" fillId="0" borderId="69" xfId="0" applyFont="1" applyBorder="1"/>
    <xf numFmtId="0" fontId="13" fillId="4" borderId="69" xfId="4" applyFont="1" applyFill="1" applyBorder="1" applyAlignment="1">
      <alignment horizontal="center" wrapText="1"/>
    </xf>
    <xf numFmtId="164" fontId="13" fillId="4" borderId="69" xfId="4" applyNumberFormat="1" applyFont="1" applyFill="1" applyBorder="1" applyAlignment="1">
      <alignment horizontal="center" wrapText="1"/>
    </xf>
    <xf numFmtId="40" fontId="13" fillId="4" borderId="69" xfId="4" applyNumberFormat="1" applyFont="1" applyFill="1" applyBorder="1" applyAlignment="1">
      <alignment horizontal="center" wrapText="1"/>
    </xf>
    <xf numFmtId="0" fontId="59" fillId="0" borderId="0" xfId="0" applyFont="1"/>
    <xf numFmtId="0" fontId="41" fillId="0" borderId="69" xfId="0" applyFont="1" applyBorder="1" applyAlignment="1">
      <alignment vertical="center"/>
    </xf>
    <xf numFmtId="0" fontId="40" fillId="0" borderId="0" xfId="0" applyFont="1"/>
    <xf numFmtId="0" fontId="41" fillId="0" borderId="0" xfId="0" applyFont="1"/>
    <xf numFmtId="0" fontId="60" fillId="0" borderId="0" xfId="0" applyFont="1"/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0" fillId="23" borderId="33" xfId="0" applyFont="1" applyFill="1" applyBorder="1" applyAlignment="1">
      <alignment vertical="center" wrapText="1"/>
    </xf>
    <xf numFmtId="0" fontId="40" fillId="23" borderId="69" xfId="0" applyFont="1" applyFill="1" applyBorder="1" applyAlignment="1">
      <alignment horizontal="center" vertical="center" wrapText="1"/>
    </xf>
    <xf numFmtId="0" fontId="40" fillId="23" borderId="69" xfId="0" applyFont="1" applyFill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67" fillId="26" borderId="0" xfId="0" applyFont="1" applyFill="1" applyAlignment="1">
      <alignment horizontal="center" vertical="center"/>
    </xf>
    <xf numFmtId="0" fontId="64" fillId="26" borderId="0" xfId="0" applyFont="1" applyFill="1"/>
    <xf numFmtId="0" fontId="33" fillId="27" borderId="69" xfId="0" applyFont="1" applyFill="1" applyBorder="1" applyAlignment="1">
      <alignment horizontal="center" vertical="center"/>
    </xf>
    <xf numFmtId="0" fontId="33" fillId="27" borderId="69" xfId="0" applyFont="1" applyFill="1" applyBorder="1" applyAlignment="1">
      <alignment horizontal="center" vertical="center" wrapText="1"/>
    </xf>
    <xf numFmtId="0" fontId="37" fillId="0" borderId="69" xfId="0" applyFont="1" applyBorder="1" applyAlignment="1">
      <alignment vertical="center"/>
    </xf>
    <xf numFmtId="10" fontId="30" fillId="7" borderId="69" xfId="0" applyNumberFormat="1" applyFont="1" applyFill="1" applyBorder="1" applyAlignment="1">
      <alignment horizontal="center" vertical="center" wrapText="1"/>
    </xf>
    <xf numFmtId="10" fontId="68" fillId="0" borderId="0" xfId="0" applyNumberFormat="1" applyFont="1" applyAlignment="1">
      <alignment horizontal="center" vertical="center" wrapText="1"/>
    </xf>
    <xf numFmtId="171" fontId="2" fillId="9" borderId="0" xfId="0" applyNumberFormat="1" applyFont="1" applyFill="1" applyAlignment="1">
      <alignment horizontal="center"/>
    </xf>
    <xf numFmtId="39" fontId="2" fillId="0" borderId="33" xfId="0" applyNumberFormat="1" applyFont="1" applyBorder="1"/>
    <xf numFmtId="0" fontId="3" fillId="22" borderId="39" xfId="0" applyFont="1" applyFill="1" applyBorder="1" applyAlignment="1">
      <alignment vertical="center"/>
    </xf>
    <xf numFmtId="0" fontId="3" fillId="22" borderId="38" xfId="0" applyFont="1" applyFill="1" applyBorder="1" applyAlignment="1">
      <alignment vertical="center"/>
    </xf>
    <xf numFmtId="0" fontId="1" fillId="9" borderId="3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22" borderId="40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43" fontId="7" fillId="19" borderId="48" xfId="10" applyFont="1" applyFill="1" applyBorder="1" applyAlignment="1">
      <alignment horizontal="center"/>
    </xf>
    <xf numFmtId="171" fontId="4" fillId="0" borderId="4" xfId="3" applyNumberFormat="1" applyFont="1" applyBorder="1" applyAlignment="1">
      <alignment horizontal="center"/>
    </xf>
    <xf numFmtId="43" fontId="7" fillId="11" borderId="48" xfId="1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3" fillId="22" borderId="33" xfId="0" applyFont="1" applyFill="1" applyBorder="1" applyAlignment="1">
      <alignment horizontal="center" vertical="center"/>
    </xf>
    <xf numFmtId="4" fontId="2" fillId="0" borderId="4" xfId="0" applyNumberFormat="1" applyFont="1" applyBorder="1"/>
    <xf numFmtId="10" fontId="2" fillId="0" borderId="4" xfId="6" applyNumberFormat="1" applyFont="1" applyBorder="1"/>
    <xf numFmtId="39" fontId="2" fillId="0" borderId="45" xfId="0" applyNumberFormat="1" applyFont="1" applyBorder="1"/>
    <xf numFmtId="39" fontId="2" fillId="0" borderId="0" xfId="0" applyNumberFormat="1" applyFont="1"/>
    <xf numFmtId="0" fontId="3" fillId="22" borderId="41" xfId="0" applyFont="1" applyFill="1" applyBorder="1" applyAlignment="1">
      <alignment horizontal="center" vertical="center"/>
    </xf>
    <xf numFmtId="0" fontId="3" fillId="22" borderId="42" xfId="0" applyFont="1" applyFill="1" applyBorder="1" applyAlignment="1">
      <alignment horizontal="center" vertical="center"/>
    </xf>
    <xf numFmtId="0" fontId="3" fillId="22" borderId="43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22" borderId="45" xfId="0" applyFont="1" applyFill="1" applyBorder="1" applyAlignment="1">
      <alignment horizontal="center" vertical="center"/>
    </xf>
    <xf numFmtId="0" fontId="55" fillId="0" borderId="69" xfId="0" applyFont="1" applyBorder="1" applyAlignment="1">
      <alignment horizontal="center" vertical="center"/>
    </xf>
    <xf numFmtId="0" fontId="38" fillId="0" borderId="69" xfId="0" applyFont="1" applyBorder="1" applyAlignment="1">
      <alignment horizontal="center" vertical="center"/>
    </xf>
    <xf numFmtId="0" fontId="1" fillId="0" borderId="46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50" xfId="0" applyFont="1" applyBorder="1" applyAlignment="1">
      <alignment horizontal="left"/>
    </xf>
    <xf numFmtId="194" fontId="2" fillId="3" borderId="70" xfId="0" applyNumberFormat="1" applyFont="1" applyFill="1" applyBorder="1"/>
    <xf numFmtId="194" fontId="2" fillId="3" borderId="7" xfId="0" applyNumberFormat="1" applyFont="1" applyFill="1" applyBorder="1"/>
    <xf numFmtId="194" fontId="2" fillId="3" borderId="36" xfId="0" applyNumberFormat="1" applyFont="1" applyFill="1" applyBorder="1"/>
    <xf numFmtId="196" fontId="2" fillId="0" borderId="42" xfId="0" applyNumberFormat="1" applyFont="1" applyBorder="1" applyAlignment="1">
      <alignment horizontal="center"/>
    </xf>
    <xf numFmtId="194" fontId="2" fillId="0" borderId="71" xfId="0" applyNumberFormat="1" applyFont="1" applyBorder="1"/>
    <xf numFmtId="194" fontId="2" fillId="3" borderId="25" xfId="0" applyNumberFormat="1" applyFont="1" applyFill="1" applyBorder="1"/>
    <xf numFmtId="194" fontId="2" fillId="3" borderId="72" xfId="0" applyNumberFormat="1" applyFont="1" applyFill="1" applyBorder="1"/>
    <xf numFmtId="194" fontId="2" fillId="3" borderId="26" xfId="0" applyNumberFormat="1" applyFont="1" applyFill="1" applyBorder="1"/>
    <xf numFmtId="0" fontId="58" fillId="9" borderId="52" xfId="0" applyFont="1" applyFill="1" applyBorder="1"/>
    <xf numFmtId="0" fontId="2" fillId="9" borderId="53" xfId="0" applyFont="1" applyFill="1" applyBorder="1"/>
    <xf numFmtId="0" fontId="2" fillId="9" borderId="42" xfId="0" applyFont="1" applyFill="1" applyBorder="1"/>
    <xf numFmtId="0" fontId="2" fillId="9" borderId="54" xfId="0" applyFont="1" applyFill="1" applyBorder="1"/>
    <xf numFmtId="0" fontId="2" fillId="9" borderId="17" xfId="0" applyFont="1" applyFill="1" applyBorder="1"/>
    <xf numFmtId="0" fontId="50" fillId="9" borderId="54" xfId="0" applyFont="1" applyFill="1" applyBorder="1"/>
    <xf numFmtId="0" fontId="50" fillId="9" borderId="0" xfId="0" applyFont="1" applyFill="1"/>
    <xf numFmtId="0" fontId="2" fillId="9" borderId="38" xfId="0" applyFont="1" applyFill="1" applyBorder="1"/>
    <xf numFmtId="0" fontId="2" fillId="9" borderId="51" xfId="0" applyFont="1" applyFill="1" applyBorder="1"/>
    <xf numFmtId="0" fontId="2" fillId="9" borderId="39" xfId="0" applyFont="1" applyFill="1" applyBorder="1"/>
    <xf numFmtId="0" fontId="50" fillId="9" borderId="53" xfId="0" applyFont="1" applyFill="1" applyBorder="1"/>
    <xf numFmtId="0" fontId="14" fillId="14" borderId="0" xfId="0" applyFont="1" applyFill="1"/>
    <xf numFmtId="0" fontId="15" fillId="14" borderId="0" xfId="0" applyFont="1" applyFill="1"/>
    <xf numFmtId="43" fontId="15" fillId="14" borderId="0" xfId="1" applyFont="1" applyFill="1"/>
    <xf numFmtId="195" fontId="1" fillId="25" borderId="0" xfId="0" applyNumberFormat="1" applyFont="1" applyFill="1"/>
    <xf numFmtId="43" fontId="12" fillId="14" borderId="33" xfId="0" applyNumberFormat="1" applyFont="1" applyFill="1" applyBorder="1"/>
    <xf numFmtId="168" fontId="4" fillId="3" borderId="69" xfId="1" applyNumberFormat="1" applyFont="1" applyFill="1" applyBorder="1" applyAlignment="1">
      <alignment horizontal="center"/>
    </xf>
    <xf numFmtId="43" fontId="4" fillId="3" borderId="1" xfId="1" applyFont="1" applyFill="1" applyBorder="1" applyAlignment="1">
      <alignment horizontal="center"/>
    </xf>
    <xf numFmtId="43" fontId="4" fillId="3" borderId="1" xfId="0" applyNumberFormat="1" applyFont="1" applyFill="1" applyBorder="1" applyAlignment="1">
      <alignment horizontal="center"/>
    </xf>
    <xf numFmtId="43" fontId="4" fillId="6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/>
    <xf numFmtId="0" fontId="3" fillId="4" borderId="69" xfId="4" applyFont="1" applyFill="1" applyBorder="1" applyAlignment="1">
      <alignment horizontal="center" wrapText="1"/>
    </xf>
    <xf numFmtId="0" fontId="24" fillId="4" borderId="69" xfId="4" applyFont="1" applyFill="1" applyBorder="1" applyAlignment="1">
      <alignment horizontal="center" wrapText="1"/>
    </xf>
    <xf numFmtId="0" fontId="4" fillId="0" borderId="69" xfId="4" applyFont="1" applyBorder="1" applyAlignment="1">
      <alignment horizontal="left"/>
    </xf>
    <xf numFmtId="0" fontId="4" fillId="0" borderId="69" xfId="4" applyFont="1" applyBorder="1" applyAlignment="1">
      <alignment horizontal="center" vertical="center" wrapText="1"/>
    </xf>
    <xf numFmtId="3" fontId="2" fillId="3" borderId="69" xfId="0" applyNumberFormat="1" applyFont="1" applyFill="1" applyBorder="1"/>
    <xf numFmtId="43" fontId="2" fillId="3" borderId="69" xfId="1" applyFont="1" applyFill="1" applyBorder="1"/>
    <xf numFmtId="197" fontId="4" fillId="8" borderId="1" xfId="1" applyNumberFormat="1" applyFont="1" applyFill="1" applyBorder="1" applyAlignment="1">
      <alignment horizontal="center"/>
    </xf>
    <xf numFmtId="0" fontId="69" fillId="20" borderId="0" xfId="0" applyFont="1" applyFill="1" applyAlignment="1">
      <alignment horizontal="center" vertical="center"/>
    </xf>
    <xf numFmtId="182" fontId="38" fillId="0" borderId="32" xfId="0" applyNumberFormat="1" applyFont="1" applyBorder="1" applyAlignment="1">
      <alignment horizontal="center" vertical="center"/>
    </xf>
    <xf numFmtId="182" fontId="69" fillId="20" borderId="32" xfId="0" applyNumberFormat="1" applyFont="1" applyFill="1" applyBorder="1" applyAlignment="1">
      <alignment horizontal="center" vertical="center"/>
    </xf>
    <xf numFmtId="188" fontId="2" fillId="0" borderId="0" xfId="0" applyNumberFormat="1" applyFont="1"/>
    <xf numFmtId="0" fontId="2" fillId="0" borderId="73" xfId="0" applyFont="1" applyBorder="1"/>
    <xf numFmtId="49" fontId="41" fillId="9" borderId="33" xfId="0" applyNumberFormat="1" applyFont="1" applyFill="1" applyBorder="1" applyAlignment="1">
      <alignment horizontal="center" vertical="center"/>
    </xf>
    <xf numFmtId="43" fontId="41" fillId="9" borderId="33" xfId="1" applyFont="1" applyFill="1" applyBorder="1" applyAlignment="1">
      <alignment horizontal="center" vertical="center" wrapText="1"/>
    </xf>
    <xf numFmtId="184" fontId="63" fillId="9" borderId="33" xfId="1" applyNumberFormat="1" applyFont="1" applyFill="1" applyBorder="1" applyAlignment="1">
      <alignment horizontal="center" vertical="center" wrapText="1"/>
    </xf>
    <xf numFmtId="0" fontId="41" fillId="9" borderId="33" xfId="0" applyFont="1" applyFill="1" applyBorder="1" applyAlignment="1">
      <alignment horizontal="center" vertical="center"/>
    </xf>
    <xf numFmtId="2" fontId="41" fillId="0" borderId="69" xfId="0" applyNumberFormat="1" applyFont="1" applyBorder="1" applyAlignment="1">
      <alignment horizontal="center" vertical="center"/>
    </xf>
    <xf numFmtId="2" fontId="41" fillId="0" borderId="69" xfId="0" applyNumberFormat="1" applyFont="1" applyBorder="1" applyAlignment="1">
      <alignment horizontal="center" vertical="center" wrapText="1"/>
    </xf>
    <xf numFmtId="2" fontId="41" fillId="0" borderId="69" xfId="0" applyNumberFormat="1" applyFont="1" applyBorder="1" applyAlignment="1">
      <alignment horizontal="center"/>
    </xf>
    <xf numFmtId="2" fontId="41" fillId="7" borderId="69" xfId="0" applyNumberFormat="1" applyFont="1" applyFill="1" applyBorder="1" applyAlignment="1">
      <alignment horizontal="center" vertical="center" wrapText="1"/>
    </xf>
    <xf numFmtId="0" fontId="41" fillId="7" borderId="69" xfId="0" applyFont="1" applyFill="1" applyBorder="1" applyAlignment="1">
      <alignment horizontal="center" vertical="center" wrapText="1"/>
    </xf>
    <xf numFmtId="184" fontId="63" fillId="0" borderId="69" xfId="1" applyNumberFormat="1" applyFont="1" applyFill="1" applyBorder="1" applyAlignment="1">
      <alignment horizontal="center" vertical="center" wrapText="1"/>
    </xf>
    <xf numFmtId="0" fontId="41" fillId="3" borderId="33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49" fontId="1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83" fontId="30" fillId="12" borderId="1" xfId="1" applyNumberFormat="1" applyFont="1" applyFill="1" applyBorder="1"/>
    <xf numFmtId="183" fontId="30" fillId="12" borderId="1" xfId="0" applyNumberFormat="1" applyFont="1" applyFill="1" applyBorder="1"/>
    <xf numFmtId="43" fontId="30" fillId="12" borderId="1" xfId="1" applyFont="1" applyFill="1" applyBorder="1"/>
    <xf numFmtId="0" fontId="72" fillId="28" borderId="0" xfId="0" applyFont="1" applyFill="1"/>
    <xf numFmtId="14" fontId="72" fillId="28" borderId="0" xfId="0" applyNumberFormat="1" applyFont="1" applyFill="1" applyAlignment="1">
      <alignment horizontal="center"/>
    </xf>
    <xf numFmtId="172" fontId="72" fillId="28" borderId="0" xfId="0" applyNumberFormat="1" applyFont="1" applyFill="1" applyAlignment="1">
      <alignment horizontal="center"/>
    </xf>
    <xf numFmtId="167" fontId="72" fillId="28" borderId="0" xfId="0" applyNumberFormat="1" applyFont="1" applyFill="1" applyAlignment="1">
      <alignment horizontal="center"/>
    </xf>
    <xf numFmtId="0" fontId="72" fillId="28" borderId="0" xfId="0" applyFont="1" applyFill="1" applyAlignment="1">
      <alignment horizontal="center"/>
    </xf>
    <xf numFmtId="49" fontId="72" fillId="28" borderId="0" xfId="0" applyNumberFormat="1" applyFont="1" applyFill="1" applyAlignment="1">
      <alignment horizontal="center"/>
    </xf>
    <xf numFmtId="0" fontId="37" fillId="0" borderId="69" xfId="0" applyFont="1" applyBorder="1" applyAlignment="1">
      <alignment horizontal="left" vertical="center"/>
    </xf>
    <xf numFmtId="0" fontId="57" fillId="11" borderId="11" xfId="12" applyFont="1" applyFill="1" applyBorder="1" applyAlignment="1">
      <alignment horizontal="center" vertical="center"/>
    </xf>
    <xf numFmtId="0" fontId="57" fillId="11" borderId="12" xfId="12" applyFont="1" applyFill="1" applyBorder="1">
      <alignment vertical="center"/>
    </xf>
    <xf numFmtId="10" fontId="4" fillId="3" borderId="1" xfId="6" applyNumberFormat="1" applyFont="1" applyFill="1" applyBorder="1" applyAlignment="1">
      <alignment horizontal="center"/>
    </xf>
    <xf numFmtId="197" fontId="4" fillId="3" borderId="1" xfId="1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170" fontId="2" fillId="3" borderId="1" xfId="1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43" fontId="1" fillId="3" borderId="1" xfId="1" applyFont="1" applyFill="1" applyBorder="1"/>
    <xf numFmtId="14" fontId="0" fillId="3" borderId="73" xfId="0" applyNumberForma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166" fontId="4" fillId="9" borderId="1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29" borderId="0" xfId="0" applyFill="1"/>
    <xf numFmtId="2" fontId="41" fillId="0" borderId="0" xfId="0" applyNumberFormat="1" applyFont="1" applyAlignment="1">
      <alignment horizontal="center" vertical="center" wrapText="1"/>
    </xf>
    <xf numFmtId="0" fontId="73" fillId="0" borderId="0" xfId="0" applyFont="1"/>
    <xf numFmtId="0" fontId="74" fillId="0" borderId="0" xfId="0" applyFont="1" applyAlignment="1">
      <alignment horizontal="left"/>
    </xf>
    <xf numFmtId="10" fontId="41" fillId="0" borderId="73" xfId="6" applyNumberFormat="1" applyFont="1" applyBorder="1"/>
    <xf numFmtId="2" fontId="41" fillId="7" borderId="73" xfId="0" applyNumberFormat="1" applyFont="1" applyFill="1" applyBorder="1" applyAlignment="1">
      <alignment horizontal="center" vertical="center" wrapText="1"/>
    </xf>
    <xf numFmtId="0" fontId="41" fillId="7" borderId="73" xfId="0" applyFont="1" applyFill="1" applyBorder="1" applyAlignment="1">
      <alignment horizontal="center" vertical="center" wrapText="1"/>
    </xf>
    <xf numFmtId="194" fontId="0" fillId="0" borderId="73" xfId="1" applyNumberFormat="1" applyFont="1" applyBorder="1"/>
    <xf numFmtId="10" fontId="0" fillId="0" borderId="73" xfId="1" applyNumberFormat="1" applyFont="1" applyBorder="1"/>
    <xf numFmtId="184" fontId="0" fillId="3" borderId="73" xfId="0" applyNumberFormat="1" applyFill="1" applyBorder="1"/>
    <xf numFmtId="0" fontId="1" fillId="0" borderId="73" xfId="0" applyFont="1" applyBorder="1"/>
    <xf numFmtId="171" fontId="2" fillId="0" borderId="73" xfId="0" applyNumberFormat="1" applyFont="1" applyBorder="1"/>
    <xf numFmtId="167" fontId="4" fillId="0" borderId="4" xfId="3" applyNumberFormat="1" applyFont="1" applyBorder="1" applyAlignment="1">
      <alignment horizontal="center"/>
    </xf>
    <xf numFmtId="0" fontId="3" fillId="26" borderId="73" xfId="0" applyFont="1" applyFill="1" applyBorder="1" applyAlignment="1">
      <alignment horizontal="center"/>
    </xf>
    <xf numFmtId="171" fontId="1" fillId="0" borderId="0" xfId="0" applyNumberFormat="1" applyFont="1"/>
    <xf numFmtId="0" fontId="3" fillId="22" borderId="15" xfId="0" applyFont="1" applyFill="1" applyBorder="1" applyAlignment="1">
      <alignment horizontal="center" vertical="center"/>
    </xf>
    <xf numFmtId="0" fontId="3" fillId="22" borderId="24" xfId="0" applyFont="1" applyFill="1" applyBorder="1" applyAlignment="1">
      <alignment horizontal="center" vertical="center"/>
    </xf>
    <xf numFmtId="171" fontId="1" fillId="3" borderId="73" xfId="0" applyNumberFormat="1" applyFont="1" applyFill="1" applyBorder="1"/>
    <xf numFmtId="21" fontId="1" fillId="0" borderId="0" xfId="0" applyNumberFormat="1" applyFont="1"/>
    <xf numFmtId="18" fontId="2" fillId="0" borderId="0" xfId="0" applyNumberFormat="1" applyFont="1"/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5" fillId="0" borderId="0" xfId="0" applyFont="1" applyAlignment="1">
      <alignment horizontal="left"/>
    </xf>
    <xf numFmtId="0" fontId="2" fillId="0" borderId="7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8" fontId="76" fillId="0" borderId="1" xfId="0" applyNumberFormat="1" applyFont="1" applyBorder="1" applyAlignment="1">
      <alignment horizontal="center"/>
    </xf>
    <xf numFmtId="0" fontId="77" fillId="0" borderId="0" xfId="0" applyFont="1"/>
    <xf numFmtId="14" fontId="77" fillId="0" borderId="0" xfId="0" applyNumberFormat="1" applyFont="1" applyAlignment="1">
      <alignment horizontal="center"/>
    </xf>
    <xf numFmtId="172" fontId="77" fillId="0" borderId="0" xfId="0" applyNumberFormat="1" applyFont="1" applyAlignment="1">
      <alignment horizontal="center"/>
    </xf>
    <xf numFmtId="167" fontId="77" fillId="0" borderId="0" xfId="0" applyNumberFormat="1" applyFont="1" applyAlignment="1">
      <alignment horizontal="center"/>
    </xf>
    <xf numFmtId="14" fontId="2" fillId="0" borderId="73" xfId="0" applyNumberFormat="1" applyFont="1" applyBorder="1"/>
    <xf numFmtId="40" fontId="2" fillId="0" borderId="73" xfId="0" applyNumberFormat="1" applyFont="1" applyBorder="1"/>
    <xf numFmtId="0" fontId="3" fillId="26" borderId="73" xfId="0" applyFont="1" applyFill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6" fontId="2" fillId="3" borderId="69" xfId="0" applyNumberFormat="1" applyFont="1" applyFill="1" applyBorder="1"/>
    <xf numFmtId="166" fontId="2" fillId="3" borderId="69" xfId="1" applyNumberFormat="1" applyFont="1" applyFill="1" applyBorder="1"/>
    <xf numFmtId="44" fontId="2" fillId="3" borderId="69" xfId="1" applyNumberFormat="1" applyFont="1" applyFill="1" applyBorder="1"/>
    <xf numFmtId="0" fontId="2" fillId="3" borderId="1" xfId="1" applyNumberFormat="1" applyFont="1" applyFill="1" applyBorder="1"/>
    <xf numFmtId="166" fontId="2" fillId="3" borderId="1" xfId="1" applyNumberFormat="1" applyFont="1" applyFill="1" applyBorder="1"/>
    <xf numFmtId="8" fontId="2" fillId="0" borderId="73" xfId="0" applyNumberFormat="1" applyFont="1" applyBorder="1"/>
    <xf numFmtId="8" fontId="2" fillId="3" borderId="1" xfId="1" applyNumberFormat="1" applyFont="1" applyFill="1" applyBorder="1"/>
    <xf numFmtId="8" fontId="2" fillId="0" borderId="0" xfId="0" applyNumberFormat="1" applyFont="1"/>
    <xf numFmtId="165" fontId="2" fillId="3" borderId="1" xfId="11" applyFont="1" applyFill="1" applyBorder="1"/>
    <xf numFmtId="3" fontId="4" fillId="3" borderId="1" xfId="1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12" borderId="1" xfId="0" applyFont="1" applyFill="1" applyBorder="1"/>
    <xf numFmtId="0" fontId="41" fillId="0" borderId="73" xfId="0" applyFont="1" applyBorder="1" applyAlignment="1">
      <alignment vertical="center" wrapText="1"/>
    </xf>
    <xf numFmtId="0" fontId="41" fillId="0" borderId="73" xfId="0" applyFont="1" applyBorder="1" applyAlignment="1">
      <alignment horizontal="center" vertical="center" wrapText="1"/>
    </xf>
    <xf numFmtId="0" fontId="2" fillId="9" borderId="0" xfId="0" applyFont="1" applyFill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 vertical="center"/>
    </xf>
    <xf numFmtId="0" fontId="3" fillId="26" borderId="15" xfId="0" applyFont="1" applyFill="1" applyBorder="1" applyAlignment="1">
      <alignment horizontal="center" vertical="center"/>
    </xf>
    <xf numFmtId="0" fontId="3" fillId="26" borderId="16" xfId="0" applyFont="1" applyFill="1" applyBorder="1" applyAlignment="1">
      <alignment horizontal="center" vertical="center"/>
    </xf>
    <xf numFmtId="0" fontId="3" fillId="26" borderId="1" xfId="4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3" fillId="26" borderId="15" xfId="0" applyFont="1" applyFill="1" applyBorder="1" applyAlignment="1">
      <alignment horizontal="left" vertical="center"/>
    </xf>
    <xf numFmtId="0" fontId="3" fillId="26" borderId="16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wrapText="1"/>
    </xf>
    <xf numFmtId="0" fontId="3" fillId="4" borderId="16" xfId="0" applyFont="1" applyFill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3" fillId="4" borderId="29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30" xfId="2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6" borderId="6" xfId="0" applyFont="1" applyFill="1" applyBorder="1" applyAlignment="1">
      <alignment horizontal="center"/>
    </xf>
    <xf numFmtId="0" fontId="3" fillId="26" borderId="0" xfId="0" applyFont="1" applyFill="1" applyAlignment="1">
      <alignment horizontal="center"/>
    </xf>
    <xf numFmtId="0" fontId="3" fillId="4" borderId="29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center" vertical="center"/>
    </xf>
    <xf numFmtId="0" fontId="3" fillId="4" borderId="30" xfId="2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3" fillId="26" borderId="7" xfId="0" applyFont="1" applyFill="1" applyBorder="1" applyAlignment="1">
      <alignment horizontal="center"/>
    </xf>
    <xf numFmtId="0" fontId="3" fillId="26" borderId="4" xfId="0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0" fontId="3" fillId="26" borderId="1" xfId="2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 vertical="center"/>
    </xf>
    <xf numFmtId="0" fontId="3" fillId="17" borderId="1" xfId="4" applyFont="1" applyFill="1" applyBorder="1" applyAlignment="1">
      <alignment horizontal="center" wrapText="1"/>
    </xf>
    <xf numFmtId="0" fontId="3" fillId="16" borderId="1" xfId="4" applyFont="1" applyFill="1" applyBorder="1" applyAlignment="1">
      <alignment horizontal="center" wrapText="1"/>
    </xf>
    <xf numFmtId="0" fontId="3" fillId="15" borderId="3" xfId="4" applyFont="1" applyFill="1" applyBorder="1" applyAlignment="1">
      <alignment horizontal="center" wrapText="1"/>
    </xf>
    <xf numFmtId="0" fontId="3" fillId="15" borderId="7" xfId="4" applyFont="1" applyFill="1" applyBorder="1" applyAlignment="1">
      <alignment horizontal="center" wrapText="1"/>
    </xf>
    <xf numFmtId="0" fontId="3" fillId="15" borderId="4" xfId="4" applyFont="1" applyFill="1" applyBorder="1" applyAlignment="1">
      <alignment horizontal="center" wrapText="1"/>
    </xf>
    <xf numFmtId="0" fontId="3" fillId="18" borderId="3" xfId="4" applyFont="1" applyFill="1" applyBorder="1" applyAlignment="1">
      <alignment horizontal="center" wrapText="1"/>
    </xf>
    <xf numFmtId="0" fontId="3" fillId="18" borderId="7" xfId="4" applyFont="1" applyFill="1" applyBorder="1" applyAlignment="1">
      <alignment horizontal="center" wrapText="1"/>
    </xf>
    <xf numFmtId="0" fontId="3" fillId="18" borderId="4" xfId="4" applyFont="1" applyFill="1" applyBorder="1" applyAlignment="1">
      <alignment horizontal="center" wrapText="1"/>
    </xf>
    <xf numFmtId="0" fontId="3" fillId="4" borderId="15" xfId="4" applyFont="1" applyFill="1" applyBorder="1" applyAlignment="1">
      <alignment horizontal="center" vertical="center" wrapText="1"/>
    </xf>
    <xf numFmtId="0" fontId="3" fillId="4" borderId="24" xfId="4" applyFont="1" applyFill="1" applyBorder="1" applyAlignment="1">
      <alignment horizontal="center" vertical="center" wrapText="1"/>
    </xf>
    <xf numFmtId="0" fontId="3" fillId="4" borderId="16" xfId="4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3" fillId="4" borderId="29" xfId="4" applyFont="1" applyFill="1" applyBorder="1" applyAlignment="1">
      <alignment horizontal="center" vertical="center" wrapText="1"/>
    </xf>
    <xf numFmtId="0" fontId="13" fillId="4" borderId="5" xfId="4" applyFont="1" applyFill="1" applyBorder="1" applyAlignment="1">
      <alignment horizontal="center" vertical="center" wrapText="1"/>
    </xf>
    <xf numFmtId="0" fontId="13" fillId="4" borderId="6" xfId="4" applyFont="1" applyFill="1" applyBorder="1" applyAlignment="1">
      <alignment horizontal="center" vertical="center" wrapText="1"/>
    </xf>
    <xf numFmtId="0" fontId="13" fillId="4" borderId="33" xfId="4" applyFont="1" applyFill="1" applyBorder="1" applyAlignment="1">
      <alignment horizontal="center" vertical="center" wrapText="1"/>
    </xf>
    <xf numFmtId="0" fontId="13" fillId="4" borderId="15" xfId="4" applyFont="1" applyFill="1" applyBorder="1" applyAlignment="1">
      <alignment horizontal="center" vertical="center" wrapText="1"/>
    </xf>
    <xf numFmtId="0" fontId="13" fillId="4" borderId="24" xfId="4" applyFont="1" applyFill="1" applyBorder="1" applyAlignment="1">
      <alignment horizontal="center" vertical="center" wrapText="1"/>
    </xf>
    <xf numFmtId="0" fontId="13" fillId="4" borderId="16" xfId="4" applyFont="1" applyFill="1" applyBorder="1" applyAlignment="1">
      <alignment horizontal="center" vertical="center" wrapText="1"/>
    </xf>
    <xf numFmtId="0" fontId="13" fillId="4" borderId="2" xfId="4" applyFont="1" applyFill="1" applyBorder="1" applyAlignment="1">
      <alignment horizontal="center" vertical="center" wrapText="1"/>
    </xf>
    <xf numFmtId="0" fontId="13" fillId="4" borderId="3" xfId="4" applyFont="1" applyFill="1" applyBorder="1" applyAlignment="1">
      <alignment horizontal="center" wrapText="1"/>
    </xf>
    <xf numFmtId="0" fontId="13" fillId="4" borderId="4" xfId="4" applyFont="1" applyFill="1" applyBorder="1" applyAlignment="1">
      <alignment horizontal="center" wrapText="1"/>
    </xf>
    <xf numFmtId="0" fontId="13" fillId="4" borderId="0" xfId="4" applyFont="1" applyFill="1" applyAlignment="1">
      <alignment horizontal="center" wrapText="1"/>
    </xf>
    <xf numFmtId="0" fontId="13" fillId="4" borderId="17" xfId="4" applyFont="1" applyFill="1" applyBorder="1" applyAlignment="1">
      <alignment horizontal="center" wrapText="1"/>
    </xf>
    <xf numFmtId="0" fontId="13" fillId="4" borderId="5" xfId="4" applyFont="1" applyFill="1" applyBorder="1" applyAlignment="1">
      <alignment horizontal="center" wrapText="1"/>
    </xf>
    <xf numFmtId="0" fontId="13" fillId="4" borderId="2" xfId="4" applyFont="1" applyFill="1" applyBorder="1" applyAlignment="1">
      <alignment horizontal="center" wrapText="1"/>
    </xf>
    <xf numFmtId="0" fontId="13" fillId="4" borderId="69" xfId="4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4" borderId="3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 wrapText="1"/>
    </xf>
    <xf numFmtId="0" fontId="3" fillId="4" borderId="4" xfId="2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3" fillId="2" borderId="3" xfId="2" applyFont="1" applyFill="1" applyBorder="1" applyAlignment="1">
      <alignment horizontal="center" wrapText="1"/>
    </xf>
    <xf numFmtId="0" fontId="33" fillId="2" borderId="7" xfId="2" applyFont="1" applyFill="1" applyBorder="1" applyAlignment="1">
      <alignment horizontal="center" wrapText="1"/>
    </xf>
    <xf numFmtId="0" fontId="33" fillId="2" borderId="4" xfId="2" applyFont="1" applyFill="1" applyBorder="1" applyAlignment="1">
      <alignment horizontal="center" wrapText="1"/>
    </xf>
    <xf numFmtId="0" fontId="33" fillId="4" borderId="3" xfId="2" applyFont="1" applyFill="1" applyBorder="1" applyAlignment="1">
      <alignment horizontal="center"/>
    </xf>
    <xf numFmtId="0" fontId="33" fillId="4" borderId="4" xfId="2" applyFont="1" applyFill="1" applyBorder="1" applyAlignment="1">
      <alignment horizontal="center"/>
    </xf>
    <xf numFmtId="0" fontId="33" fillId="4" borderId="29" xfId="2" applyFont="1" applyFill="1" applyBorder="1" applyAlignment="1">
      <alignment horizontal="center" vertical="center" wrapText="1"/>
    </xf>
    <xf numFmtId="0" fontId="33" fillId="4" borderId="31" xfId="2" applyFont="1" applyFill="1" applyBorder="1" applyAlignment="1">
      <alignment horizontal="center" vertical="center" wrapText="1"/>
    </xf>
    <xf numFmtId="0" fontId="33" fillId="4" borderId="23" xfId="2" applyFont="1" applyFill="1" applyBorder="1" applyAlignment="1">
      <alignment horizontal="center" vertical="center" wrapText="1"/>
    </xf>
    <xf numFmtId="0" fontId="33" fillId="4" borderId="6" xfId="2" applyFont="1" applyFill="1" applyBorder="1" applyAlignment="1">
      <alignment horizontal="center" vertical="center" wrapText="1"/>
    </xf>
    <xf numFmtId="0" fontId="33" fillId="4" borderId="0" xfId="2" applyFont="1" applyFill="1" applyAlignment="1">
      <alignment horizontal="center" vertical="center" wrapText="1"/>
    </xf>
    <xf numFmtId="0" fontId="33" fillId="4" borderId="18" xfId="2" applyFont="1" applyFill="1" applyBorder="1" applyAlignment="1">
      <alignment horizontal="center" vertical="center" wrapText="1"/>
    </xf>
    <xf numFmtId="0" fontId="33" fillId="4" borderId="5" xfId="2" applyFont="1" applyFill="1" applyBorder="1" applyAlignment="1">
      <alignment horizontal="center" vertical="center" wrapText="1"/>
    </xf>
    <xf numFmtId="0" fontId="33" fillId="4" borderId="2" xfId="2" applyFont="1" applyFill="1" applyBorder="1" applyAlignment="1">
      <alignment horizontal="center" vertical="center" wrapText="1"/>
    </xf>
    <xf numFmtId="0" fontId="33" fillId="4" borderId="30" xfId="2" applyFont="1" applyFill="1" applyBorder="1" applyAlignment="1">
      <alignment horizontal="center" vertical="center" wrapText="1"/>
    </xf>
    <xf numFmtId="0" fontId="33" fillId="4" borderId="29" xfId="2" applyFont="1" applyFill="1" applyBorder="1" applyAlignment="1">
      <alignment horizontal="center" vertical="center"/>
    </xf>
    <xf numFmtId="0" fontId="33" fillId="4" borderId="23" xfId="2" applyFont="1" applyFill="1" applyBorder="1" applyAlignment="1">
      <alignment horizontal="center" vertical="center"/>
    </xf>
    <xf numFmtId="0" fontId="33" fillId="4" borderId="6" xfId="2" applyFont="1" applyFill="1" applyBorder="1" applyAlignment="1">
      <alignment horizontal="center" vertical="center"/>
    </xf>
    <xf numFmtId="0" fontId="33" fillId="4" borderId="18" xfId="2" applyFont="1" applyFill="1" applyBorder="1" applyAlignment="1">
      <alignment horizontal="center" vertical="center"/>
    </xf>
    <xf numFmtId="0" fontId="33" fillId="4" borderId="5" xfId="2" applyFont="1" applyFill="1" applyBorder="1" applyAlignment="1">
      <alignment horizontal="center" vertical="center"/>
    </xf>
    <xf numFmtId="0" fontId="33" fillId="4" borderId="30" xfId="2" applyFont="1" applyFill="1" applyBorder="1" applyAlignment="1">
      <alignment horizontal="center" vertical="center"/>
    </xf>
    <xf numFmtId="0" fontId="3" fillId="2" borderId="68" xfId="2" applyFont="1" applyFill="1" applyBorder="1" applyAlignment="1">
      <alignment horizontal="center"/>
    </xf>
    <xf numFmtId="170" fontId="2" fillId="0" borderId="16" xfId="0" applyNumberFormat="1" applyFont="1" applyBorder="1" applyAlignment="1">
      <alignment horizontal="center"/>
    </xf>
    <xf numFmtId="0" fontId="3" fillId="4" borderId="6" xfId="2" applyFont="1" applyFill="1" applyBorder="1" applyAlignment="1">
      <alignment horizontal="center"/>
    </xf>
    <xf numFmtId="0" fontId="3" fillId="4" borderId="0" xfId="2" applyFont="1" applyFill="1" applyAlignment="1">
      <alignment horizontal="center"/>
    </xf>
    <xf numFmtId="0" fontId="13" fillId="4" borderId="7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43" fontId="2" fillId="0" borderId="15" xfId="1" applyFont="1" applyFill="1" applyBorder="1" applyAlignment="1">
      <alignment horizontal="right" vertical="center"/>
    </xf>
    <xf numFmtId="43" fontId="2" fillId="0" borderId="16" xfId="1" applyFont="1" applyFill="1" applyBorder="1" applyAlignment="1">
      <alignment horizontal="right" vertical="center"/>
    </xf>
    <xf numFmtId="0" fontId="1" fillId="0" borderId="33" xfId="0" applyFont="1" applyBorder="1" applyAlignment="1">
      <alignment horizontal="center"/>
    </xf>
    <xf numFmtId="0" fontId="3" fillId="4" borderId="3" xfId="4" applyFont="1" applyFill="1" applyBorder="1" applyAlignment="1">
      <alignment horizontal="center" wrapText="1"/>
    </xf>
    <xf numFmtId="0" fontId="3" fillId="4" borderId="4" xfId="4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46" fillId="0" borderId="3" xfId="12" applyFont="1" applyBorder="1" applyAlignment="1">
      <alignment horizontal="left" vertical="center"/>
    </xf>
    <xf numFmtId="0" fontId="46" fillId="0" borderId="4" xfId="12" applyFont="1" applyBorder="1" applyAlignment="1">
      <alignment horizontal="left" vertical="center"/>
    </xf>
    <xf numFmtId="3" fontId="46" fillId="5" borderId="3" xfId="12" applyNumberFormat="1" applyFont="1" applyFill="1" applyBorder="1" applyAlignment="1">
      <alignment horizontal="center"/>
    </xf>
    <xf numFmtId="3" fontId="46" fillId="5" borderId="7" xfId="12" applyNumberFormat="1" applyFont="1" applyFill="1" applyBorder="1" applyAlignment="1">
      <alignment horizontal="center"/>
    </xf>
    <xf numFmtId="3" fontId="46" fillId="5" borderId="4" xfId="12" applyNumberFormat="1" applyFont="1" applyFill="1" applyBorder="1" applyAlignment="1">
      <alignment horizontal="center"/>
    </xf>
    <xf numFmtId="3" fontId="45" fillId="0" borderId="3" xfId="12" applyNumberFormat="1" applyFont="1" applyBorder="1" applyAlignment="1">
      <alignment horizontal="center"/>
    </xf>
    <xf numFmtId="3" fontId="45" fillId="0" borderId="7" xfId="12" applyNumberFormat="1" applyFont="1" applyBorder="1" applyAlignment="1">
      <alignment horizontal="center"/>
    </xf>
    <xf numFmtId="3" fontId="45" fillId="0" borderId="4" xfId="12" applyNumberFormat="1" applyFont="1" applyBorder="1" applyAlignment="1">
      <alignment horizontal="center"/>
    </xf>
    <xf numFmtId="4" fontId="46" fillId="0" borderId="3" xfId="12" applyNumberFormat="1" applyFont="1" applyBorder="1" applyAlignment="1">
      <alignment horizontal="left"/>
    </xf>
    <xf numFmtId="4" fontId="46" fillId="0" borderId="7" xfId="12" applyNumberFormat="1" applyFont="1" applyBorder="1" applyAlignment="1">
      <alignment horizontal="left"/>
    </xf>
    <xf numFmtId="4" fontId="46" fillId="0" borderId="3" xfId="12" applyNumberFormat="1" applyFont="1" applyBorder="1" applyAlignment="1">
      <alignment horizontal="center"/>
    </xf>
    <xf numFmtId="4" fontId="46" fillId="0" borderId="7" xfId="12" applyNumberFormat="1" applyFont="1" applyBorder="1" applyAlignment="1">
      <alignment horizontal="center"/>
    </xf>
    <xf numFmtId="4" fontId="45" fillId="11" borderId="3" xfId="12" applyNumberFormat="1" applyFont="1" applyFill="1" applyBorder="1" applyAlignment="1">
      <alignment horizontal="left"/>
    </xf>
    <xf numFmtId="4" fontId="45" fillId="11" borderId="7" xfId="12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94" fontId="8" fillId="24" borderId="3" xfId="0" applyNumberFormat="1" applyFont="1" applyFill="1" applyBorder="1" applyAlignment="1">
      <alignment horizontal="left"/>
    </xf>
    <xf numFmtId="194" fontId="8" fillId="24" borderId="4" xfId="0" applyNumberFormat="1" applyFont="1" applyFill="1" applyBorder="1" applyAlignment="1">
      <alignment horizontal="left"/>
    </xf>
    <xf numFmtId="0" fontId="3" fillId="4" borderId="5" xfId="4" applyFont="1" applyFill="1" applyBorder="1" applyAlignment="1">
      <alignment horizontal="center" wrapText="1"/>
    </xf>
    <xf numFmtId="0" fontId="3" fillId="4" borderId="30" xfId="4" applyFont="1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3" xfId="0" applyFont="1" applyFill="1" applyBorder="1" applyAlignment="1">
      <alignment horizontal="center" wrapText="1"/>
    </xf>
    <xf numFmtId="3" fontId="45" fillId="5" borderId="3" xfId="12" applyNumberFormat="1" applyFont="1" applyFill="1" applyBorder="1" applyAlignment="1">
      <alignment horizontal="center"/>
    </xf>
    <xf numFmtId="3" fontId="45" fillId="5" borderId="7" xfId="12" applyNumberFormat="1" applyFont="1" applyFill="1" applyBorder="1" applyAlignment="1">
      <alignment horizontal="center"/>
    </xf>
    <xf numFmtId="3" fontId="45" fillId="5" borderId="4" xfId="12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 wrapText="1"/>
    </xf>
    <xf numFmtId="0" fontId="7" fillId="2" borderId="31" xfId="0" applyFont="1" applyFill="1" applyBorder="1" applyAlignment="1">
      <alignment horizontal="center" wrapText="1"/>
    </xf>
    <xf numFmtId="0" fontId="40" fillId="23" borderId="3" xfId="0" applyFont="1" applyFill="1" applyBorder="1" applyAlignment="1">
      <alignment horizontal="center" vertical="center" wrapText="1"/>
    </xf>
    <xf numFmtId="0" fontId="40" fillId="23" borderId="7" xfId="0" applyFont="1" applyFill="1" applyBorder="1" applyAlignment="1">
      <alignment horizontal="center" vertical="center" wrapText="1"/>
    </xf>
    <xf numFmtId="0" fontId="40" fillId="23" borderId="4" xfId="0" applyFont="1" applyFill="1" applyBorder="1" applyAlignment="1">
      <alignment horizontal="center" vertical="center" wrapText="1"/>
    </xf>
    <xf numFmtId="0" fontId="40" fillId="23" borderId="15" xfId="0" applyFont="1" applyFill="1" applyBorder="1" applyAlignment="1">
      <alignment horizontal="center" vertical="center"/>
    </xf>
    <xf numFmtId="0" fontId="40" fillId="23" borderId="16" xfId="0" applyFont="1" applyFill="1" applyBorder="1" applyAlignment="1">
      <alignment horizontal="center" vertical="center"/>
    </xf>
    <xf numFmtId="0" fontId="40" fillId="23" borderId="3" xfId="0" applyFont="1" applyFill="1" applyBorder="1" applyAlignment="1">
      <alignment horizontal="center" vertical="center"/>
    </xf>
    <xf numFmtId="0" fontId="40" fillId="23" borderId="7" xfId="0" applyFont="1" applyFill="1" applyBorder="1" applyAlignment="1">
      <alignment horizontal="center" vertical="center"/>
    </xf>
    <xf numFmtId="0" fontId="40" fillId="23" borderId="4" xfId="0" applyFont="1" applyFill="1" applyBorder="1" applyAlignment="1">
      <alignment horizontal="center" vertical="center"/>
    </xf>
    <xf numFmtId="0" fontId="41" fillId="0" borderId="73" xfId="0" applyFont="1" applyBorder="1" applyAlignment="1">
      <alignment vertical="center" wrapText="1"/>
    </xf>
    <xf numFmtId="0" fontId="41" fillId="0" borderId="73" xfId="0" applyFont="1" applyBorder="1" applyAlignment="1">
      <alignment horizontal="center" vertical="center" wrapText="1"/>
    </xf>
    <xf numFmtId="0" fontId="40" fillId="23" borderId="69" xfId="0" applyFont="1" applyFill="1" applyBorder="1" applyAlignment="1">
      <alignment horizontal="center" vertical="center" wrapText="1"/>
    </xf>
    <xf numFmtId="0" fontId="56" fillId="0" borderId="73" xfId="0" applyFont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0" fontId="41" fillId="0" borderId="33" xfId="0" applyFont="1" applyBorder="1" applyAlignment="1">
      <alignment vertical="center" wrapText="1"/>
    </xf>
    <xf numFmtId="0" fontId="41" fillId="0" borderId="33" xfId="0" applyFont="1" applyBorder="1" applyAlignment="1">
      <alignment horizontal="center" vertical="center" wrapText="1"/>
    </xf>
    <xf numFmtId="0" fontId="56" fillId="0" borderId="69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170" fontId="41" fillId="3" borderId="73" xfId="0" applyNumberFormat="1" applyFont="1" applyFill="1" applyBorder="1" applyAlignment="1">
      <alignment horizontal="left" vertical="center"/>
    </xf>
    <xf numFmtId="22" fontId="41" fillId="3" borderId="73" xfId="0" applyNumberFormat="1" applyFont="1" applyFill="1" applyBorder="1" applyAlignment="1">
      <alignment horizontal="left" vertical="center"/>
    </xf>
    <xf numFmtId="0" fontId="41" fillId="3" borderId="73" xfId="0" applyFont="1" applyFill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6" xfId="0" applyFont="1" applyBorder="1" applyAlignment="1">
      <alignment horizontal="left" vertical="center"/>
    </xf>
  </cellXfs>
  <cellStyles count="14">
    <cellStyle name="A3 297 x 420 mm" xfId="5" xr:uid="{00000000-0005-0000-0000-000000000000}"/>
    <cellStyle name="AFE 2" xfId="7" xr:uid="{00000000-0005-0000-0000-000001000000}"/>
    <cellStyle name="Moeda" xfId="11" builtinId="4"/>
    <cellStyle name="Normal" xfId="0" builtinId="0"/>
    <cellStyle name="Normal 2" xfId="12" xr:uid="{00000000-0005-0000-0000-000004000000}"/>
    <cellStyle name="Normal 3 2" xfId="4" xr:uid="{00000000-0005-0000-0000-000005000000}"/>
    <cellStyle name="Normal 4" xfId="8" xr:uid="{00000000-0005-0000-0000-000006000000}"/>
    <cellStyle name="Normal_9. - Contrato" xfId="13" xr:uid="{00000000-0005-0000-0000-000007000000}"/>
    <cellStyle name="Normal_Dados" xfId="3" xr:uid="{00000000-0005-0000-0000-000008000000}"/>
    <cellStyle name="Normal_LQO MTBT urbano V2 27-11-07" xfId="2" xr:uid="{00000000-0005-0000-0000-000009000000}"/>
    <cellStyle name="Porcentagem" xfId="6" builtinId="5"/>
    <cellStyle name="Separador de milhares 2" xfId="10" xr:uid="{00000000-0005-0000-0000-00000B000000}"/>
    <cellStyle name="Vírgula" xfId="1" builtinId="3"/>
    <cellStyle name="Vírgula 2" xfId="9" xr:uid="{00000000-0005-0000-0000-00000D000000}"/>
  </cellStyles>
  <dxfs count="180">
    <dxf>
      <numFmt numFmtId="167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72" formatCode="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strike/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6633"/>
      <color rgb="FF336699"/>
      <color rgb="FFFF0000"/>
      <color rgb="FF215967"/>
      <color rgb="FF0033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COMPARATIVO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5011340294419724E-2"/>
          <c:y val="0.2221153846153846"/>
          <c:w val="0.87509735535775424"/>
          <c:h val="0.61715778316172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CAPA!$C$29:$C$30</c:f>
              <c:strCache>
                <c:ptCount val="2"/>
                <c:pt idx="0">
                  <c:v>Último RTA</c:v>
                </c:pt>
                <c:pt idx="1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CAPA!$B$31:$B$35</c:f>
              <c:strCache>
                <c:ptCount val="5"/>
                <c:pt idx="0">
                  <c:v>AT-2</c:v>
                </c:pt>
                <c:pt idx="1">
                  <c:v>AT-3</c:v>
                </c:pt>
                <c:pt idx="2">
                  <c:v>MT</c:v>
                </c:pt>
                <c:pt idx="3">
                  <c:v>AS</c:v>
                </c:pt>
                <c:pt idx="4">
                  <c:v>BT</c:v>
                </c:pt>
              </c:strCache>
            </c:strRef>
          </c:cat>
          <c:val>
            <c:numRef>
              <c:f>CAPA!$C$31:$C$35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7.4348741895556417E-2</c:v>
                </c:pt>
                <c:pt idx="3">
                  <c:v>0</c:v>
                </c:pt>
                <c:pt idx="4">
                  <c:v>0.9256512581044436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5-4D94-8026-3D1FD74D6D6A}"/>
            </c:ext>
          </c:extLst>
        </c:ser>
        <c:ser>
          <c:idx val="1"/>
          <c:order val="1"/>
          <c:tx>
            <c:strRef>
              <c:f>CAPA!$D$29:$D$30</c:f>
              <c:strCache>
                <c:ptCount val="2"/>
                <c:pt idx="0">
                  <c:v>Resultado RTP</c:v>
                </c:pt>
                <c:pt idx="1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CAPA!$B$31:$B$35</c:f>
              <c:strCache>
                <c:ptCount val="5"/>
                <c:pt idx="0">
                  <c:v>AT-2</c:v>
                </c:pt>
                <c:pt idx="1">
                  <c:v>AT-3</c:v>
                </c:pt>
                <c:pt idx="2">
                  <c:v>MT</c:v>
                </c:pt>
                <c:pt idx="3">
                  <c:v>AS</c:v>
                </c:pt>
                <c:pt idx="4">
                  <c:v>BT</c:v>
                </c:pt>
              </c:strCache>
            </c:strRef>
          </c:cat>
          <c:val>
            <c:numRef>
              <c:f>CAPA!$D$31:$D$35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0.169880070649267</c:v>
                </c:pt>
                <c:pt idx="3">
                  <c:v>0</c:v>
                </c:pt>
                <c:pt idx="4">
                  <c:v>0.8301199293507332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5-4D94-8026-3D1FD74D6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0617384"/>
        <c:axId val="410616992"/>
      </c:barChart>
      <c:catAx>
        <c:axId val="4106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616992"/>
        <c:crosses val="autoZero"/>
        <c:auto val="1"/>
        <c:lblAlgn val="ctr"/>
        <c:lblOffset val="100"/>
        <c:noMultiLvlLbl val="0"/>
      </c:catAx>
      <c:valAx>
        <c:axId val="4106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6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76288086271822"/>
          <c:y val="0.13541590954976776"/>
          <c:w val="0.41627256468413726"/>
          <c:h val="0.105140922805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 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8F1-485B-B832-DA87667718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8F1-485B-B832-DA87667718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8F1-485B-B832-DA876677187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8F1-485B-B832-DA876677187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C8F1-485B-B832-DA876677187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8F1-485B-B832-DA876677187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8F1-485B-B832-DA876677187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C8F1-485B-B832-DA876677187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'Tabelas e Graficos NT'!$I$111:$J$120</c15:sqref>
                  </c15:fullRef>
                </c:ext>
              </c:extLst>
              <c:f>'Tabelas e Graficos NT'!$I$115:$J$120</c:f>
              <c:multiLvlStrCache>
                <c:ptCount val="6"/>
                <c:lvl>
                  <c:pt idx="0">
                    <c:v>Azul</c:v>
                  </c:pt>
                  <c:pt idx="1">
                    <c:v>Verde</c:v>
                  </c:pt>
                  <c:pt idx="2">
                    <c:v>Conv</c:v>
                  </c:pt>
                  <c:pt idx="3">
                    <c:v>Conv</c:v>
                  </c:pt>
                  <c:pt idx="4">
                    <c:v>Conv</c:v>
                  </c:pt>
                  <c:pt idx="5">
                    <c:v>Conv</c:v>
                  </c:pt>
                </c:lvl>
                <c:lvl>
                  <c:pt idx="0">
                    <c:v>A4</c:v>
                  </c:pt>
                  <c:pt idx="2">
                    <c:v>B1</c:v>
                  </c:pt>
                  <c:pt idx="3">
                    <c:v>B2</c:v>
                  </c:pt>
                  <c:pt idx="4">
                    <c:v>B3</c:v>
                  </c:pt>
                  <c:pt idx="5">
                    <c:v>B4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'Tabelas e Graficos NT'!$K$111:$K$120</c15:sqref>
                  </c15:fullRef>
                </c:ext>
              </c:extLst>
              <c:f>'Tabelas e Graficos NT'!$K$115:$K$120</c:f>
              <c:numCache>
                <c:formatCode>0.00%</c:formatCode>
                <c:ptCount val="6"/>
                <c:pt idx="0">
                  <c:v>0.1928</c:v>
                </c:pt>
                <c:pt idx="1">
                  <c:v>0.20830000000000001</c:v>
                </c:pt>
                <c:pt idx="2">
                  <c:v>0.16845101491525916</c:v>
                </c:pt>
                <c:pt idx="3">
                  <c:v>0.24917928462451733</c:v>
                </c:pt>
                <c:pt idx="4">
                  <c:v>0.16959581667650903</c:v>
                </c:pt>
                <c:pt idx="5">
                  <c:v>0.16944900010604824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'Tabelas e Graficos NT'!$K$111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'Tabelas e Graficos NT'!$K$112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'Tabelas e Graficos NT'!$K$113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C8F1-485B-B832-DA876677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32786760"/>
        <c:axId val="403402768"/>
      </c:barChart>
      <c:catAx>
        <c:axId val="33278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02768"/>
        <c:crosses val="autoZero"/>
        <c:auto val="1"/>
        <c:lblAlgn val="ctr"/>
        <c:lblOffset val="100"/>
        <c:noMultiLvlLbl val="0"/>
      </c:catAx>
      <c:valAx>
        <c:axId val="4034027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8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 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0B4-4233-AEEF-5F42BCCF96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0B4-4233-AEEF-5F42BCCF96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0B4-4233-AEEF-5F42BCCF96C4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'Tabelas e Graficos NT'!$I$156:$J$165</c15:sqref>
                  </c15:fullRef>
                </c:ext>
              </c:extLst>
              <c:f>'Tabelas e Graficos NT'!$I$159:$J$159</c:f>
              <c:multiLvlStrCache>
                <c:ptCount val="1"/>
                <c:lvl>
                  <c:pt idx="0">
                    <c:v>A4</c:v>
                  </c:pt>
                </c:lvl>
                <c:lvl>
                  <c:pt idx="0">
                    <c:v>Ger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'Tabelas e Graficos NT'!$K$156:$K$165</c15:sqref>
                  </c15:fullRef>
                </c:ext>
              </c:extLst>
              <c:f>'Tabelas e Graficos NT'!$K$159</c:f>
              <c:numCache>
                <c:formatCode>0.00%</c:formatCode>
                <c:ptCount val="1"/>
                <c:pt idx="0">
                  <c:v>1.868072335466799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B4-4233-AEEF-5F42BCCF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3403944"/>
        <c:axId val="403404336"/>
      </c:barChart>
      <c:catAx>
        <c:axId val="4034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04336"/>
        <c:crosses val="autoZero"/>
        <c:auto val="1"/>
        <c:lblAlgn val="ctr"/>
        <c:lblOffset val="100"/>
        <c:noMultiLvlLbl val="0"/>
      </c:catAx>
      <c:valAx>
        <c:axId val="4034043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03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NT'!$AB$2:$AB$25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6-48E6-8A86-72D1E97F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06296"/>
        <c:axId val="411876032"/>
      </c:lineChart>
      <c:catAx>
        <c:axId val="4034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Posto Tarifário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876032"/>
        <c:crosses val="autoZero"/>
        <c:auto val="1"/>
        <c:lblAlgn val="ctr"/>
        <c:lblOffset val="100"/>
        <c:noMultiLvlLbl val="0"/>
      </c:catAx>
      <c:valAx>
        <c:axId val="411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NT'!$AC$2:$AC$25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C-432A-99A2-02247049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76816"/>
        <c:axId val="411877208"/>
      </c:lineChart>
      <c:catAx>
        <c:axId val="4118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Posto Tarifário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877208"/>
        <c:crosses val="autoZero"/>
        <c:auto val="1"/>
        <c:lblAlgn val="ctr"/>
        <c:lblOffset val="100"/>
        <c:noMultiLvlLbl val="0"/>
      </c:catAx>
      <c:valAx>
        <c:axId val="4118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8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NT'!$AD$2:$AD$25</c:f>
              <c:numCache>
                <c:formatCode>_(* #,##0.00_);_(* \(#,##0.00\);_(* "-"??_);_(@_)</c:formatCode>
                <c:ptCount val="24"/>
                <c:pt idx="0">
                  <c:v>3.2466970165899331</c:v>
                </c:pt>
                <c:pt idx="1">
                  <c:v>2.9329466187882614</c:v>
                </c:pt>
                <c:pt idx="2">
                  <c:v>2.878242543950126</c:v>
                </c:pt>
                <c:pt idx="3">
                  <c:v>2.7962782988613091</c:v>
                </c:pt>
                <c:pt idx="4">
                  <c:v>2.8497028129464139</c:v>
                </c:pt>
                <c:pt idx="5">
                  <c:v>3.209839971923675</c:v>
                </c:pt>
                <c:pt idx="6">
                  <c:v>3.7362295738847608</c:v>
                </c:pt>
                <c:pt idx="7">
                  <c:v>4.8634863051664956</c:v>
                </c:pt>
                <c:pt idx="8">
                  <c:v>5.8398201690507952</c:v>
                </c:pt>
                <c:pt idx="9">
                  <c:v>5.9532741120217683</c:v>
                </c:pt>
                <c:pt idx="10">
                  <c:v>6.1139052031481942</c:v>
                </c:pt>
                <c:pt idx="11">
                  <c:v>5.8330348882394167</c:v>
                </c:pt>
                <c:pt idx="12">
                  <c:v>5.117877240473871</c:v>
                </c:pt>
                <c:pt idx="13">
                  <c:v>5.9955439489186215</c:v>
                </c:pt>
                <c:pt idx="14">
                  <c:v>6.5252221130558903</c:v>
                </c:pt>
                <c:pt idx="15">
                  <c:v>6.5583715776534053</c:v>
                </c:pt>
                <c:pt idx="16">
                  <c:v>6.5779322560383946</c:v>
                </c:pt>
                <c:pt idx="17">
                  <c:v>5.4608279479560791</c:v>
                </c:pt>
                <c:pt idx="18">
                  <c:v>2.3779111167471134</c:v>
                </c:pt>
                <c:pt idx="19">
                  <c:v>2.1973804495621345</c:v>
                </c:pt>
                <c:pt idx="20">
                  <c:v>1.9696843870310794</c:v>
                </c:pt>
                <c:pt idx="21">
                  <c:v>3.6717451575101343</c:v>
                </c:pt>
                <c:pt idx="22">
                  <c:v>3.8684173942412801</c:v>
                </c:pt>
                <c:pt idx="23">
                  <c:v>3.4294251309721897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B-49CE-84DA-78003FE7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78384"/>
        <c:axId val="411878776"/>
      </c:lineChart>
      <c:catAx>
        <c:axId val="4118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Posto Tarifário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878776"/>
        <c:crosses val="autoZero"/>
        <c:auto val="1"/>
        <c:lblAlgn val="ctr"/>
        <c:lblOffset val="100"/>
        <c:noMultiLvlLbl val="0"/>
      </c:catAx>
      <c:valAx>
        <c:axId val="4118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8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NT'!$AE$2:$AE$25</c:f>
              <c:numCache>
                <c:formatCode>_(* #,##0.00_);_(* \(#,##0.00\);_(* "-"??_);_(@_)</c:formatCode>
                <c:ptCount val="24"/>
                <c:pt idx="0">
                  <c:v>9.1357723130503672</c:v>
                </c:pt>
                <c:pt idx="1">
                  <c:v>8.1290315214747455</c:v>
                </c:pt>
                <c:pt idx="2">
                  <c:v>8.0245862715154708</c:v>
                </c:pt>
                <c:pt idx="3">
                  <c:v>7.7095486629407528</c:v>
                </c:pt>
                <c:pt idx="4">
                  <c:v>7.6057392681333873</c:v>
                </c:pt>
                <c:pt idx="5">
                  <c:v>8.0793174617107617</c:v>
                </c:pt>
                <c:pt idx="6">
                  <c:v>10.511166767978471</c:v>
                </c:pt>
                <c:pt idx="7">
                  <c:v>10.309399108849981</c:v>
                </c:pt>
                <c:pt idx="8">
                  <c:v>11.373383640089155</c:v>
                </c:pt>
                <c:pt idx="9">
                  <c:v>12.617742179400011</c:v>
                </c:pt>
                <c:pt idx="10">
                  <c:v>13.755441298197979</c:v>
                </c:pt>
                <c:pt idx="11">
                  <c:v>14.578945051778357</c:v>
                </c:pt>
                <c:pt idx="12">
                  <c:v>14.647967072103235</c:v>
                </c:pt>
                <c:pt idx="13">
                  <c:v>12.59315288420852</c:v>
                </c:pt>
                <c:pt idx="14">
                  <c:v>14.128191067883698</c:v>
                </c:pt>
                <c:pt idx="15">
                  <c:v>14.15964268139178</c:v>
                </c:pt>
                <c:pt idx="16">
                  <c:v>13.715867828055345</c:v>
                </c:pt>
                <c:pt idx="17">
                  <c:v>15.775825497143931</c:v>
                </c:pt>
                <c:pt idx="18">
                  <c:v>20.570371436847289</c:v>
                </c:pt>
                <c:pt idx="19">
                  <c:v>20.999223142417978</c:v>
                </c:pt>
                <c:pt idx="20">
                  <c:v>21.277952513427746</c:v>
                </c:pt>
                <c:pt idx="21">
                  <c:v>17.433349252646376</c:v>
                </c:pt>
                <c:pt idx="22">
                  <c:v>14.808280656350849</c:v>
                </c:pt>
                <c:pt idx="23">
                  <c:v>11.837291322934687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E-49BE-BCA0-3FD389BD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79560"/>
        <c:axId val="403405512"/>
      </c:lineChart>
      <c:catAx>
        <c:axId val="41187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Posto Tarifário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05512"/>
        <c:crosses val="autoZero"/>
        <c:auto val="1"/>
        <c:lblAlgn val="ctr"/>
        <c:lblOffset val="100"/>
        <c:noMultiLvlLbl val="0"/>
      </c:catAx>
      <c:valAx>
        <c:axId val="4034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87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CURVAS!$B$82</c:f>
              <c:strCache>
                <c:ptCount val="1"/>
                <c:pt idx="0">
                  <c:v>PROJETADA</c:v>
                </c:pt>
              </c:strCache>
            </c:strRef>
          </c:tx>
          <c:marker>
            <c:symbol val="none"/>
          </c:marker>
          <c:xVal>
            <c:numRef>
              <c:f>CURVAS!$A$83:$A$106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CURVAS!$B$83:$B$106</c:f>
              <c:numCache>
                <c:formatCode>0.00000</c:formatCode>
                <c:ptCount val="24"/>
                <c:pt idx="0">
                  <c:v>1.0419957846951446</c:v>
                </c:pt>
                <c:pt idx="1">
                  <c:v>0.94684588585022356</c:v>
                </c:pt>
                <c:pt idx="2">
                  <c:v>0.91299335332988651</c:v>
                </c:pt>
                <c:pt idx="3">
                  <c:v>0.90744634409448099</c:v>
                </c:pt>
                <c:pt idx="4">
                  <c:v>0.91594019852672204</c:v>
                </c:pt>
                <c:pt idx="5">
                  <c:v>0.93699970810656352</c:v>
                </c:pt>
                <c:pt idx="6">
                  <c:v>0.86073168747511064</c:v>
                </c:pt>
                <c:pt idx="7">
                  <c:v>0.74345086785049019</c:v>
                </c:pt>
                <c:pt idx="8">
                  <c:v>0.64097348797349341</c:v>
                </c:pt>
                <c:pt idx="9">
                  <c:v>0.59657374081998216</c:v>
                </c:pt>
                <c:pt idx="10">
                  <c:v>0.5763807162987552</c:v>
                </c:pt>
                <c:pt idx="11">
                  <c:v>0.55852804569542802</c:v>
                </c:pt>
                <c:pt idx="12">
                  <c:v>0.72253151858542009</c:v>
                </c:pt>
                <c:pt idx="13">
                  <c:v>0.59537566584689339</c:v>
                </c:pt>
                <c:pt idx="14">
                  <c:v>0.66406325168754143</c:v>
                </c:pt>
                <c:pt idx="15">
                  <c:v>0.66857234794682363</c:v>
                </c:pt>
                <c:pt idx="16">
                  <c:v>0.76709389721507903</c:v>
                </c:pt>
                <c:pt idx="17">
                  <c:v>1.0385762158159992</c:v>
                </c:pt>
                <c:pt idx="18">
                  <c:v>1.5783165286529861</c:v>
                </c:pt>
                <c:pt idx="19">
                  <c:v>1.832863558236115</c:v>
                </c:pt>
                <c:pt idx="20">
                  <c:v>1.8161647941540777</c:v>
                </c:pt>
                <c:pt idx="21">
                  <c:v>1.7083111955100747</c:v>
                </c:pt>
                <c:pt idx="22">
                  <c:v>1.6290534705587272</c:v>
                </c:pt>
                <c:pt idx="23">
                  <c:v>1.3404577350739824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1-451F-B4E7-E72960ED79C4}"/>
            </c:ext>
          </c:extLst>
        </c:ser>
        <c:ser>
          <c:idx val="1"/>
          <c:order val="1"/>
          <c:tx>
            <c:strRef>
              <c:f>CURVAS!$C$82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xVal>
            <c:numRef>
              <c:f>CURVAS!$A$83:$A$106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CURVAS!$C$83:$C$106</c:f>
              <c:numCache>
                <c:formatCode>0.00000</c:formatCode>
                <c:ptCount val="24"/>
                <c:pt idx="0">
                  <c:v>1.2190337389791466</c:v>
                </c:pt>
                <c:pt idx="1">
                  <c:v>1.0995596846325046</c:v>
                </c:pt>
                <c:pt idx="2">
                  <c:v>1.0084360709574884</c:v>
                </c:pt>
                <c:pt idx="3">
                  <c:v>0.92110853385758407</c:v>
                </c:pt>
                <c:pt idx="4">
                  <c:v>0.90250873696361245</c:v>
                </c:pt>
                <c:pt idx="5">
                  <c:v>0.87789088760926692</c:v>
                </c:pt>
                <c:pt idx="6">
                  <c:v>0.85523836277665011</c:v>
                </c:pt>
                <c:pt idx="7">
                  <c:v>0.74781011520041119</c:v>
                </c:pt>
                <c:pt idx="8">
                  <c:v>0.63319184474753321</c:v>
                </c:pt>
                <c:pt idx="9">
                  <c:v>0.47132676290532088</c:v>
                </c:pt>
                <c:pt idx="10">
                  <c:v>0.55455053154710721</c:v>
                </c:pt>
                <c:pt idx="11">
                  <c:v>0.50686992050747071</c:v>
                </c:pt>
                <c:pt idx="12">
                  <c:v>0.43074314442217554</c:v>
                </c:pt>
                <c:pt idx="13">
                  <c:v>0.37730672387185737</c:v>
                </c:pt>
                <c:pt idx="14">
                  <c:v>0.53986510542535926</c:v>
                </c:pt>
                <c:pt idx="15">
                  <c:v>0.62476029440162184</c:v>
                </c:pt>
                <c:pt idx="16">
                  <c:v>0.81663524830316681</c:v>
                </c:pt>
                <c:pt idx="17">
                  <c:v>1.3306899663622087</c:v>
                </c:pt>
                <c:pt idx="18">
                  <c:v>1.4090208122343886</c:v>
                </c:pt>
                <c:pt idx="19">
                  <c:v>1.8697462777418252</c:v>
                </c:pt>
                <c:pt idx="20">
                  <c:v>1.8471527535033216</c:v>
                </c:pt>
                <c:pt idx="21">
                  <c:v>1.8709726582797082</c:v>
                </c:pt>
                <c:pt idx="22">
                  <c:v>1.6513014655900737</c:v>
                </c:pt>
                <c:pt idx="23">
                  <c:v>1.4342803591801934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1-451F-B4E7-E72960ED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6856"/>
        <c:axId val="479717840"/>
      </c:scatterChart>
      <c:valAx>
        <c:axId val="479716856"/>
        <c:scaling>
          <c:orientation val="minMax"/>
          <c:max val="2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479717840"/>
        <c:crosses val="autoZero"/>
        <c:crossBetween val="midCat"/>
        <c:majorUnit val="1"/>
      </c:valAx>
      <c:valAx>
        <c:axId val="4797178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797168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CURVAS!$D$82</c:f>
              <c:strCache>
                <c:ptCount val="1"/>
                <c:pt idx="0">
                  <c:v>ERRO</c:v>
                </c:pt>
              </c:strCache>
            </c:strRef>
          </c:tx>
          <c:marker>
            <c:symbol val="none"/>
          </c:marker>
          <c:xVal>
            <c:numRef>
              <c:f>CURVAS!$A$83:$A$106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CURVAS!$D$83:$D$106</c:f>
              <c:numCache>
                <c:formatCode>0.00000</c:formatCode>
                <c:ptCount val="24"/>
                <c:pt idx="0">
                  <c:v>0.17703795428400193</c:v>
                </c:pt>
                <c:pt idx="1">
                  <c:v>0.15271379878228108</c:v>
                </c:pt>
                <c:pt idx="2">
                  <c:v>9.5442717627601925E-2</c:v>
                </c:pt>
                <c:pt idx="3">
                  <c:v>1.3662189763103072E-2</c:v>
                </c:pt>
                <c:pt idx="4">
                  <c:v>1.3431461563109592E-2</c:v>
                </c:pt>
                <c:pt idx="5">
                  <c:v>5.9108820497296599E-2</c:v>
                </c:pt>
                <c:pt idx="6">
                  <c:v>5.4933246984605333E-3</c:v>
                </c:pt>
                <c:pt idx="7">
                  <c:v>4.3592473499209916E-3</c:v>
                </c:pt>
                <c:pt idx="8">
                  <c:v>7.7816432259601998E-3</c:v>
                </c:pt>
                <c:pt idx="9">
                  <c:v>0.12524697791466127</c:v>
                </c:pt>
                <c:pt idx="10">
                  <c:v>2.1830184751647996E-2</c:v>
                </c:pt>
                <c:pt idx="11">
                  <c:v>5.1658125187957316E-2</c:v>
                </c:pt>
                <c:pt idx="12">
                  <c:v>0.29178837416324455</c:v>
                </c:pt>
                <c:pt idx="13">
                  <c:v>0.21806894197503601</c:v>
                </c:pt>
                <c:pt idx="14">
                  <c:v>0.12419814626218217</c:v>
                </c:pt>
                <c:pt idx="15">
                  <c:v>4.381205354520179E-2</c:v>
                </c:pt>
                <c:pt idx="16">
                  <c:v>4.9541351088087771E-2</c:v>
                </c:pt>
                <c:pt idx="17">
                  <c:v>0.29211375054620947</c:v>
                </c:pt>
                <c:pt idx="18">
                  <c:v>0.16929571641859753</c:v>
                </c:pt>
                <c:pt idx="19">
                  <c:v>3.6882719505710204E-2</c:v>
                </c:pt>
                <c:pt idx="20">
                  <c:v>3.0987959349243921E-2</c:v>
                </c:pt>
                <c:pt idx="21">
                  <c:v>0.16266146276963345</c:v>
                </c:pt>
                <c:pt idx="22">
                  <c:v>2.2247995031346557E-2</c:v>
                </c:pt>
                <c:pt idx="23">
                  <c:v>9.3822624106211006E-2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E-4411-AD63-4E63944E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496"/>
        <c:axId val="479720136"/>
      </c:scatterChart>
      <c:valAx>
        <c:axId val="479718496"/>
        <c:scaling>
          <c:orientation val="minMax"/>
          <c:max val="2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479720136"/>
        <c:crosses val="autoZero"/>
        <c:crossBetween val="midCat"/>
        <c:majorUnit val="1"/>
      </c:valAx>
      <c:valAx>
        <c:axId val="4797201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797184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CURVAS!$B$108</c:f>
              <c:strCache>
                <c:ptCount val="1"/>
                <c:pt idx="0">
                  <c:v>ERRO</c:v>
                </c:pt>
              </c:strCache>
            </c:strRef>
          </c:tx>
          <c:invertIfNegative val="0"/>
          <c:cat>
            <c:strRef>
              <c:f>CURVAS!$A$109:$A$124</c:f>
              <c:strCache>
                <c:ptCount val="16"/>
                <c:pt idx="0">
                  <c:v>RT-006</c:v>
                </c:pt>
                <c:pt idx="1">
                  <c:v>RT-007</c:v>
                </c:pt>
                <c:pt idx="2">
                  <c:v>RT-008</c:v>
                </c:pt>
                <c:pt idx="3">
                  <c:v>RT-009</c:v>
                </c:pt>
                <c:pt idx="4">
                  <c:v>RT-010</c:v>
                </c:pt>
                <c:pt idx="5">
                  <c:v>RT-011</c:v>
                </c:pt>
                <c:pt idx="6">
                  <c:v>RT-012</c:v>
                </c:pt>
                <c:pt idx="7">
                  <c:v>RT-013</c:v>
                </c:pt>
                <c:pt idx="8">
                  <c:v>RT-014</c:v>
                </c:pt>
                <c:pt idx="9">
                  <c:v>RT-015</c:v>
                </c:pt>
                <c:pt idx="10">
                  <c:v>RT-002</c:v>
                </c:pt>
                <c:pt idx="11">
                  <c:v>RT-003</c:v>
                </c:pt>
                <c:pt idx="12">
                  <c:v>RT-004</c:v>
                </c:pt>
                <c:pt idx="13">
                  <c:v>RT-005</c:v>
                </c:pt>
                <c:pt idx="14">
                  <c:v>RT-016</c:v>
                </c:pt>
                <c:pt idx="15">
                  <c:v>RT-001</c:v>
                </c:pt>
              </c:strCache>
            </c:strRef>
          </c:cat>
          <c:val>
            <c:numRef>
              <c:f>CURVAS!$B$109:$B$124</c:f>
              <c:numCache>
                <c:formatCode>0.00000</c:formatCode>
                <c:ptCount val="16"/>
                <c:pt idx="0">
                  <c:v>2.6058755891953663E-2</c:v>
                </c:pt>
                <c:pt idx="1">
                  <c:v>3.5455557127468978E-2</c:v>
                </c:pt>
                <c:pt idx="2">
                  <c:v>1.5606274347855761E-2</c:v>
                </c:pt>
                <c:pt idx="3">
                  <c:v>1.1608692727289044E-2</c:v>
                </c:pt>
                <c:pt idx="4">
                  <c:v>5.2884162146853597E-2</c:v>
                </c:pt>
                <c:pt idx="5">
                  <c:v>1.8739045028106752E-2</c:v>
                </c:pt>
                <c:pt idx="6">
                  <c:v>1.599687388974003E-2</c:v>
                </c:pt>
                <c:pt idx="7">
                  <c:v>2.0668231844530847E-2</c:v>
                </c:pt>
                <c:pt idx="8">
                  <c:v>1.5682254768023908E-2</c:v>
                </c:pt>
                <c:pt idx="9">
                  <c:v>0.14086573124192794</c:v>
                </c:pt>
                <c:pt idx="10">
                  <c:v>5.498620850455687E-2</c:v>
                </c:pt>
                <c:pt idx="11">
                  <c:v>2.2070822206497503E-2</c:v>
                </c:pt>
                <c:pt idx="12">
                  <c:v>4.7126700905443658E-2</c:v>
                </c:pt>
                <c:pt idx="13">
                  <c:v>3.7132949042483841E-2</c:v>
                </c:pt>
                <c:pt idx="14">
                  <c:v>3.0400114792701053E-2</c:v>
                </c:pt>
                <c:pt idx="15">
                  <c:v>3.0400114792701053E-2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F-4824-BD1D-4BC7C75D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285952"/>
        <c:axId val="807286280"/>
      </c:barChart>
      <c:catAx>
        <c:axId val="8072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286280"/>
        <c:crosses val="autoZero"/>
        <c:auto val="1"/>
        <c:lblAlgn val="ctr"/>
        <c:lblOffset val="100"/>
        <c:noMultiLvlLbl val="0"/>
      </c:catAx>
      <c:valAx>
        <c:axId val="8072862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8072859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20360320089512E-2"/>
          <c:y val="3.3474431979990095E-2"/>
          <c:w val="0.93770747748513639"/>
          <c:h val="0.86126072630457673"/>
        </c:manualLayout>
      </c:layout>
      <c:areaChart>
        <c:grouping val="stacked"/>
        <c:varyColors val="0"/>
        <c:ser>
          <c:idx val="1"/>
          <c:order val="0"/>
          <c:tx>
            <c:strRef>
              <c:f>'Tabelas e Graficos NT'!$AB$1</c:f>
              <c:strCache>
                <c:ptCount val="1"/>
                <c:pt idx="0">
                  <c:v>AT-2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NT'!$AB$2:$AB$25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7-468D-B0D4-C1206BB6EAAE}"/>
            </c:ext>
          </c:extLst>
        </c:ser>
        <c:ser>
          <c:idx val="0"/>
          <c:order val="1"/>
          <c:tx>
            <c:strRef>
              <c:f>'Tabelas e Graficos NT'!$AC$1</c:f>
              <c:strCache>
                <c:ptCount val="1"/>
                <c:pt idx="0">
                  <c:v>AT-3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NT'!$AC$2:$AC$25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7-468D-B0D4-C1206BB6EAAE}"/>
            </c:ext>
          </c:extLst>
        </c:ser>
        <c:ser>
          <c:idx val="2"/>
          <c:order val="2"/>
          <c:tx>
            <c:strRef>
              <c:f>'Tabelas e Graficos NT'!$AD$1</c:f>
              <c:strCache>
                <c:ptCount val="1"/>
                <c:pt idx="0">
                  <c:v>MT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NT'!$AD$2:$AD$25</c:f>
              <c:numCache>
                <c:formatCode>_(* #,##0.00_);_(* \(#,##0.00\);_(* "-"??_);_(@_)</c:formatCode>
                <c:ptCount val="24"/>
                <c:pt idx="0">
                  <c:v>3.2466970165899331</c:v>
                </c:pt>
                <c:pt idx="1">
                  <c:v>2.9329466187882614</c:v>
                </c:pt>
                <c:pt idx="2">
                  <c:v>2.878242543950126</c:v>
                </c:pt>
                <c:pt idx="3">
                  <c:v>2.7962782988613091</c:v>
                </c:pt>
                <c:pt idx="4">
                  <c:v>2.8497028129464139</c:v>
                </c:pt>
                <c:pt idx="5">
                  <c:v>3.209839971923675</c:v>
                </c:pt>
                <c:pt idx="6">
                  <c:v>3.7362295738847608</c:v>
                </c:pt>
                <c:pt idx="7">
                  <c:v>4.8634863051664956</c:v>
                </c:pt>
                <c:pt idx="8">
                  <c:v>5.8398201690507952</c:v>
                </c:pt>
                <c:pt idx="9">
                  <c:v>5.9532741120217683</c:v>
                </c:pt>
                <c:pt idx="10">
                  <c:v>6.1139052031481942</c:v>
                </c:pt>
                <c:pt idx="11">
                  <c:v>5.8330348882394167</c:v>
                </c:pt>
                <c:pt idx="12">
                  <c:v>5.117877240473871</c:v>
                </c:pt>
                <c:pt idx="13">
                  <c:v>5.9955439489186215</c:v>
                </c:pt>
                <c:pt idx="14">
                  <c:v>6.5252221130558903</c:v>
                </c:pt>
                <c:pt idx="15">
                  <c:v>6.5583715776534053</c:v>
                </c:pt>
                <c:pt idx="16">
                  <c:v>6.5779322560383946</c:v>
                </c:pt>
                <c:pt idx="17">
                  <c:v>5.4608279479560791</c:v>
                </c:pt>
                <c:pt idx="18">
                  <c:v>2.3779111167471134</c:v>
                </c:pt>
                <c:pt idx="19">
                  <c:v>2.1973804495621345</c:v>
                </c:pt>
                <c:pt idx="20">
                  <c:v>1.9696843870310794</c:v>
                </c:pt>
                <c:pt idx="21">
                  <c:v>3.6717451575101343</c:v>
                </c:pt>
                <c:pt idx="22">
                  <c:v>3.8684173942412801</c:v>
                </c:pt>
                <c:pt idx="23">
                  <c:v>3.4294251309721897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7-468D-B0D4-C1206BB6EAAE}"/>
            </c:ext>
          </c:extLst>
        </c:ser>
        <c:ser>
          <c:idx val="3"/>
          <c:order val="3"/>
          <c:tx>
            <c:strRef>
              <c:f>'Tabelas e Graficos NT'!$AE$1</c:f>
              <c:strCache>
                <c:ptCount val="1"/>
                <c:pt idx="0">
                  <c:v>BT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'Tabelas e Graficos NT'!$AA$2:$AA$25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'Tabelas e Graficos NT'!$AE$2:$AE$25</c:f>
              <c:numCache>
                <c:formatCode>_(* #,##0.00_);_(* \(#,##0.00\);_(* "-"??_);_(@_)</c:formatCode>
                <c:ptCount val="24"/>
                <c:pt idx="0">
                  <c:v>9.1357723130503672</c:v>
                </c:pt>
                <c:pt idx="1">
                  <c:v>8.1290315214747455</c:v>
                </c:pt>
                <c:pt idx="2">
                  <c:v>8.0245862715154708</c:v>
                </c:pt>
                <c:pt idx="3">
                  <c:v>7.7095486629407528</c:v>
                </c:pt>
                <c:pt idx="4">
                  <c:v>7.6057392681333873</c:v>
                </c:pt>
                <c:pt idx="5">
                  <c:v>8.0793174617107617</c:v>
                </c:pt>
                <c:pt idx="6">
                  <c:v>10.511166767978471</c:v>
                </c:pt>
                <c:pt idx="7">
                  <c:v>10.309399108849981</c:v>
                </c:pt>
                <c:pt idx="8">
                  <c:v>11.373383640089155</c:v>
                </c:pt>
                <c:pt idx="9">
                  <c:v>12.617742179400011</c:v>
                </c:pt>
                <c:pt idx="10">
                  <c:v>13.755441298197979</c:v>
                </c:pt>
                <c:pt idx="11">
                  <c:v>14.578945051778357</c:v>
                </c:pt>
                <c:pt idx="12">
                  <c:v>14.647967072103235</c:v>
                </c:pt>
                <c:pt idx="13">
                  <c:v>12.59315288420852</c:v>
                </c:pt>
                <c:pt idx="14">
                  <c:v>14.128191067883698</c:v>
                </c:pt>
                <c:pt idx="15">
                  <c:v>14.15964268139178</c:v>
                </c:pt>
                <c:pt idx="16">
                  <c:v>13.715867828055345</c:v>
                </c:pt>
                <c:pt idx="17">
                  <c:v>15.775825497143931</c:v>
                </c:pt>
                <c:pt idx="18">
                  <c:v>20.570371436847289</c:v>
                </c:pt>
                <c:pt idx="19">
                  <c:v>20.999223142417978</c:v>
                </c:pt>
                <c:pt idx="20">
                  <c:v>21.277952513427746</c:v>
                </c:pt>
                <c:pt idx="21">
                  <c:v>17.433349252646376</c:v>
                </c:pt>
                <c:pt idx="22">
                  <c:v>14.808280656350849</c:v>
                </c:pt>
                <c:pt idx="23">
                  <c:v>11.837291322934687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7-468D-B0D4-C1206BB6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4208"/>
        <c:axId val="250641464"/>
      </c:areaChart>
      <c:catAx>
        <c:axId val="3885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Posto</a:t>
                </a:r>
                <a:r>
                  <a:rPr lang="en-US" sz="1050" baseline="0"/>
                  <a:t> tarifário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641464"/>
        <c:crosses val="autoZero"/>
        <c:auto val="1"/>
        <c:lblAlgn val="ctr"/>
        <c:lblOffset val="100"/>
        <c:noMultiLvlLbl val="0"/>
      </c:catAx>
      <c:valAx>
        <c:axId val="2506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5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793639162563387"/>
          <c:y val="6.7562360448982478E-2"/>
          <c:w val="0.14424462341648567"/>
          <c:h val="5.735014937589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da ESTRUTURA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9678742938161"/>
          <c:y val="0.20110881766519403"/>
          <c:w val="0.81968488766613201"/>
          <c:h val="0.665091742716357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'Tabelas e Graficos NT'!$AF$50</c:f>
              <c:strCache>
                <c:ptCount val="1"/>
                <c:pt idx="0">
                  <c:v>AT-2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'Tabelas e Graficos NT'!$AG$48:$AH$49</c:f>
              <c:multiLvlStrCache>
                <c:ptCount val="2"/>
                <c:lvl>
                  <c:pt idx="0">
                    <c:v>Nova (RTP atual)</c:v>
                  </c:pt>
                  <c:pt idx="1">
                    <c:v>Vigente (último IRT)</c:v>
                  </c:pt>
                </c:lvl>
                <c:lvl>
                  <c:pt idx="0">
                    <c:v>EV%</c:v>
                  </c:pt>
                  <c:pt idx="1">
                    <c:v>EV%</c:v>
                  </c:pt>
                </c:lvl>
              </c:multiLvlStrCache>
            </c:multiLvlStrRef>
          </c:cat>
          <c:val>
            <c:numRef>
              <c:f>'Tabelas e Graficos NT'!$AG$50:$AH$50</c:f>
            </c:numRef>
          </c:val>
          <c:extLst>
            <c:ext xmlns:c16="http://schemas.microsoft.com/office/drawing/2014/chart" uri="{C3380CC4-5D6E-409C-BE32-E72D297353CC}">
              <c16:uniqueId val="{00000002-27FB-443D-A3BD-0E3D119B351B}"/>
            </c:ext>
          </c:extLst>
        </c:ser>
        <c:ser>
          <c:idx val="1"/>
          <c:order val="1"/>
          <c:tx>
            <c:strRef>
              <c:f>'Tabelas e Graficos NT'!$AF$51</c:f>
              <c:strCache>
                <c:ptCount val="1"/>
                <c:pt idx="0">
                  <c:v>AT-3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'Tabelas e Graficos NT'!$AG$48:$AH$49</c:f>
              <c:multiLvlStrCache>
                <c:ptCount val="2"/>
                <c:lvl>
                  <c:pt idx="0">
                    <c:v>Nova (RTP atual)</c:v>
                  </c:pt>
                  <c:pt idx="1">
                    <c:v>Vigente (último IRT)</c:v>
                  </c:pt>
                </c:lvl>
                <c:lvl>
                  <c:pt idx="0">
                    <c:v>EV%</c:v>
                  </c:pt>
                  <c:pt idx="1">
                    <c:v>EV%</c:v>
                  </c:pt>
                </c:lvl>
              </c:multiLvlStrCache>
            </c:multiLvlStrRef>
          </c:cat>
          <c:val>
            <c:numRef>
              <c:f>'Tabelas e Graficos NT'!$AG$51:$AH$51</c:f>
            </c:numRef>
          </c:val>
          <c:extLst>
            <c:ext xmlns:c16="http://schemas.microsoft.com/office/drawing/2014/chart" uri="{C3380CC4-5D6E-409C-BE32-E72D297353CC}">
              <c16:uniqueId val="{00000005-27FB-443D-A3BD-0E3D119B351B}"/>
            </c:ext>
          </c:extLst>
        </c:ser>
        <c:ser>
          <c:idx val="2"/>
          <c:order val="2"/>
          <c:tx>
            <c:strRef>
              <c:f>'Tabelas e Graficos NT'!$AF$52</c:f>
              <c:strCache>
                <c:ptCount val="1"/>
                <c:pt idx="0">
                  <c:v>MT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'Tabelas e Graficos NT'!$AG$48:$AH$49</c:f>
              <c:multiLvlStrCache>
                <c:ptCount val="2"/>
                <c:lvl>
                  <c:pt idx="0">
                    <c:v>Nova (RTP atual)</c:v>
                  </c:pt>
                  <c:pt idx="1">
                    <c:v>Vigente (último IRT)</c:v>
                  </c:pt>
                </c:lvl>
                <c:lvl>
                  <c:pt idx="0">
                    <c:v>EV%</c:v>
                  </c:pt>
                  <c:pt idx="1">
                    <c:v>EV%</c:v>
                  </c:pt>
                </c:lvl>
              </c:multiLvlStrCache>
            </c:multiLvlStrRef>
          </c:cat>
          <c:val>
            <c:numRef>
              <c:f>'Tabelas e Graficos NT'!$AG$52:$AH$52</c:f>
              <c:numCache>
                <c:formatCode>0.00%</c:formatCode>
                <c:ptCount val="2"/>
                <c:pt idx="0">
                  <c:v>0.169880070649267</c:v>
                </c:pt>
                <c:pt idx="1">
                  <c:v>7.4348741895556417E-2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B-443D-A3BD-0E3D119B351B}"/>
            </c:ext>
          </c:extLst>
        </c:ser>
        <c:ser>
          <c:idx val="3"/>
          <c:order val="3"/>
          <c:tx>
            <c:strRef>
              <c:f>'Tabelas e Graficos NT'!$AF$53</c:f>
              <c:strCache>
                <c:ptCount val="1"/>
                <c:pt idx="0">
                  <c:v>BT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'Tabelas e Graficos NT'!$AG$48:$AH$49</c:f>
              <c:multiLvlStrCache>
                <c:ptCount val="2"/>
                <c:lvl>
                  <c:pt idx="0">
                    <c:v>Nova (RTP atual)</c:v>
                  </c:pt>
                  <c:pt idx="1">
                    <c:v>Vigente (último IRT)</c:v>
                  </c:pt>
                </c:lvl>
                <c:lvl>
                  <c:pt idx="0">
                    <c:v>EV%</c:v>
                  </c:pt>
                  <c:pt idx="1">
                    <c:v>EV%</c:v>
                  </c:pt>
                </c:lvl>
              </c:multiLvlStrCache>
            </c:multiLvlStrRef>
          </c:cat>
          <c:val>
            <c:numRef>
              <c:f>'Tabelas e Graficos NT'!$AG$53:$AH$53</c:f>
              <c:numCache>
                <c:formatCode>0.00%</c:formatCode>
                <c:ptCount val="2"/>
                <c:pt idx="0">
                  <c:v>0.8301199293507332</c:v>
                </c:pt>
                <c:pt idx="1">
                  <c:v>0.9256512581044436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FB-443D-A3BD-0E3D119B3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388523032"/>
        <c:axId val="388522640"/>
      </c:barChart>
      <c:catAx>
        <c:axId val="38852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522640"/>
        <c:crosses val="autoZero"/>
        <c:auto val="1"/>
        <c:lblAlgn val="ctr"/>
        <c:lblOffset val="100"/>
        <c:noMultiLvlLbl val="0"/>
      </c:catAx>
      <c:valAx>
        <c:axId val="388522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523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787706799138"/>
          <c:y val="0.10432087401221805"/>
          <c:w val="0.35684422933697124"/>
          <c:h val="8.0685457308236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215967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323-4345-ADC3-FFDF5CF3019F}"/>
              </c:ext>
            </c:extLst>
          </c:dPt>
          <c:dPt>
            <c:idx val="6"/>
            <c:invertIfNegative val="0"/>
            <c:bubble3D val="0"/>
            <c:spPr>
              <a:solidFill>
                <a:srgbClr val="666633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323-4345-ADC3-FFDF5CF3019F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323-4345-ADC3-FFDF5CF3019F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323-4345-ADC3-FFDF5CF3019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'Tabelas e Graficos NT'!$I$91:$I$102</c15:sqref>
                  </c15:fullRef>
                </c:ext>
              </c:extLst>
              <c:f>('Tabelas e Graficos NT'!$I$94,'Tabelas e Graficos NT'!$I$96:$I$102)</c:f>
              <c:strCache>
                <c:ptCount val="8"/>
                <c:pt idx="0">
                  <c:v>A4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A</c:v>
                </c:pt>
                <c:pt idx="6">
                  <c:v>B</c:v>
                </c:pt>
                <c:pt idx="7">
                  <c:v>GLOBAL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'Tabelas e Graficos NT'!$J$91:$J$102</c15:sqref>
                  </c15:fullRef>
                </c:ext>
              </c:extLst>
              <c:f>('Tabelas e Graficos NT'!$J$94,'Tabelas e Graficos NT'!$J$96:$J$102)</c:f>
              <c:numCache>
                <c:formatCode>0.00%</c:formatCode>
                <c:ptCount val="8"/>
                <c:pt idx="0">
                  <c:v>0.215</c:v>
                </c:pt>
                <c:pt idx="1">
                  <c:v>0.16840898571845053</c:v>
                </c:pt>
                <c:pt idx="2">
                  <c:v>0.24917928462451733</c:v>
                </c:pt>
                <c:pt idx="3">
                  <c:v>0.17062330190029251</c:v>
                </c:pt>
                <c:pt idx="4">
                  <c:v>0.16944900010604824</c:v>
                </c:pt>
                <c:pt idx="5">
                  <c:v>0.215</c:v>
                </c:pt>
                <c:pt idx="6">
                  <c:v>0.16899831723144576</c:v>
                </c:pt>
                <c:pt idx="7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23-4345-ADC3-FFDF5CF3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50641856"/>
        <c:axId val="250642248"/>
      </c:barChart>
      <c:catAx>
        <c:axId val="2506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642248"/>
        <c:crosses val="autoZero"/>
        <c:auto val="1"/>
        <c:lblAlgn val="ctr"/>
        <c:lblOffset val="100"/>
        <c:noMultiLvlLbl val="0"/>
      </c:catAx>
      <c:valAx>
        <c:axId val="2506422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64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 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902-45BF-B29A-B490294FD5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B902-45BF-B29A-B490294FD5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B902-45BF-B29A-B490294FD50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B902-45BF-B29A-B490294FD5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B902-45BF-B29A-B490294FD5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B902-45BF-B29A-B490294FD5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B902-45BF-B29A-B490294FD5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B902-45BF-B29A-B490294FD50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B902-45BF-B29A-B490294FD50F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'Tabelas e Graficos NT'!$I$111:$J$120</c15:sqref>
                  </c15:fullRef>
                </c:ext>
              </c:extLst>
              <c:f>'Tabelas e Graficos NT'!$I$115:$J$120</c:f>
              <c:multiLvlStrCache>
                <c:ptCount val="6"/>
                <c:lvl>
                  <c:pt idx="0">
                    <c:v>Azul</c:v>
                  </c:pt>
                  <c:pt idx="1">
                    <c:v>Verde</c:v>
                  </c:pt>
                  <c:pt idx="2">
                    <c:v>Conv</c:v>
                  </c:pt>
                  <c:pt idx="3">
                    <c:v>Conv</c:v>
                  </c:pt>
                  <c:pt idx="4">
                    <c:v>Conv</c:v>
                  </c:pt>
                  <c:pt idx="5">
                    <c:v>Conv</c:v>
                  </c:pt>
                </c:lvl>
                <c:lvl>
                  <c:pt idx="0">
                    <c:v>A4</c:v>
                  </c:pt>
                  <c:pt idx="2">
                    <c:v>B1</c:v>
                  </c:pt>
                  <c:pt idx="3">
                    <c:v>B2</c:v>
                  </c:pt>
                  <c:pt idx="4">
                    <c:v>B3</c:v>
                  </c:pt>
                  <c:pt idx="5">
                    <c:v>B4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'Tabelas e Graficos NT'!$L$111:$L$120</c15:sqref>
                  </c15:fullRef>
                </c:ext>
              </c:extLst>
              <c:f>'Tabelas e Graficos NT'!$L$115:$L$120</c:f>
              <c:numCache>
                <c:formatCode>0.00%</c:formatCode>
                <c:ptCount val="6"/>
                <c:pt idx="0">
                  <c:v>0.37040000000000001</c:v>
                </c:pt>
                <c:pt idx="1">
                  <c:v>0.40160000000000001</c:v>
                </c:pt>
                <c:pt idx="2">
                  <c:v>0.29362880163110527</c:v>
                </c:pt>
                <c:pt idx="3">
                  <c:v>0.38303106120319264</c:v>
                </c:pt>
                <c:pt idx="4">
                  <c:v>0.29491907286138619</c:v>
                </c:pt>
                <c:pt idx="5">
                  <c:v>0.29473438857391132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'Tabelas e Graficos NT'!$L$111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'Tabelas e Graficos NT'!$L$112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'Tabelas e Graficos NT'!$L$113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'Tabelas e Graficos NT'!$L$114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A-B902-45BF-B29A-B490294F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33692856"/>
        <c:axId val="333692464"/>
      </c:barChart>
      <c:catAx>
        <c:axId val="3336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692464"/>
        <c:crosses val="autoZero"/>
        <c:auto val="1"/>
        <c:lblAlgn val="ctr"/>
        <c:lblOffset val="100"/>
        <c:noMultiLvlLbl val="0"/>
      </c:catAx>
      <c:valAx>
        <c:axId val="3336924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692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 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1C0-4F7A-A778-D3A45E3080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1C0-4F7A-A778-D3A45E3080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1C0-4F7A-A778-D3A45E3080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1C0-4F7A-A778-D3A45E30808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1C0-4F7A-A778-D3A45E308086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1C0-4F7A-A778-D3A45E30808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1C0-4F7A-A778-D3A45E308086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'Tabelas e Graficos NT'!$I$111:$J$120</c15:sqref>
                  </c15:fullRef>
                </c:ext>
              </c:extLst>
              <c:f>'Tabelas e Graficos NT'!$I$115:$J$120</c:f>
              <c:multiLvlStrCache>
                <c:ptCount val="6"/>
                <c:lvl>
                  <c:pt idx="0">
                    <c:v>Azul</c:v>
                  </c:pt>
                  <c:pt idx="1">
                    <c:v>Verde</c:v>
                  </c:pt>
                  <c:pt idx="2">
                    <c:v>Conv</c:v>
                  </c:pt>
                  <c:pt idx="3">
                    <c:v>Conv</c:v>
                  </c:pt>
                  <c:pt idx="4">
                    <c:v>Conv</c:v>
                  </c:pt>
                  <c:pt idx="5">
                    <c:v>Conv</c:v>
                  </c:pt>
                </c:lvl>
                <c:lvl>
                  <c:pt idx="0">
                    <c:v>A4</c:v>
                  </c:pt>
                  <c:pt idx="2">
                    <c:v>B1</c:v>
                  </c:pt>
                  <c:pt idx="3">
                    <c:v>B2</c:v>
                  </c:pt>
                  <c:pt idx="4">
                    <c:v>B3</c:v>
                  </c:pt>
                  <c:pt idx="5">
                    <c:v>B4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'Tabelas e Graficos NT'!$M$111:$M$120</c15:sqref>
                  </c15:fullRef>
                </c:ext>
              </c:extLst>
              <c:f>'Tabelas e Graficos NT'!$M$115:$M$120</c:f>
              <c:numCache>
                <c:formatCode>0.00%</c:formatCode>
                <c:ptCount val="6"/>
                <c:pt idx="0">
                  <c:v>1.0411585282824154E-2</c:v>
                </c:pt>
                <c:pt idx="1">
                  <c:v>1.15239827730369E-2</c:v>
                </c:pt>
                <c:pt idx="2">
                  <c:v>1.0966140809730796E-2</c:v>
                </c:pt>
                <c:pt idx="3">
                  <c:v>7.9893546069665922E-2</c:v>
                </c:pt>
                <c:pt idx="4">
                  <c:v>1.1096034143043498E-2</c:v>
                </c:pt>
                <c:pt idx="5">
                  <c:v>1.0990974490833194E-2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'Tabelas e Graficos NT'!$M$114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>
                      <a:innerShdw blurRad="114300">
                        <a:schemeClr val="accent1"/>
                      </a:inn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11C0-4F7A-A778-D3A45E30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32785192"/>
        <c:axId val="332785584"/>
      </c:barChart>
      <c:catAx>
        <c:axId val="3327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85584"/>
        <c:crosses val="autoZero"/>
        <c:auto val="1"/>
        <c:lblAlgn val="ctr"/>
        <c:lblOffset val="100"/>
        <c:noMultiLvlLbl val="0"/>
      </c:catAx>
      <c:valAx>
        <c:axId val="3327855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85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10.emf"/><Relationship Id="rId9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5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174626</xdr:colOff>
      <xdr:row>27</xdr:row>
      <xdr:rowOff>95250</xdr:rowOff>
    </xdr:from>
    <xdr:to>
      <xdr:col>9</xdr:col>
      <xdr:colOff>895350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74472</xdr:colOff>
      <xdr:row>0</xdr:row>
      <xdr:rowOff>38101</xdr:rowOff>
    </xdr:from>
    <xdr:to>
      <xdr:col>1</xdr:col>
      <xdr:colOff>895349</xdr:colOff>
      <xdr:row>1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97" y="38101"/>
          <a:ext cx="820877" cy="1428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63</xdr:row>
          <xdr:rowOff>104775</xdr:rowOff>
        </xdr:from>
        <xdr:to>
          <xdr:col>1</xdr:col>
          <xdr:colOff>1619250</xdr:colOff>
          <xdr:row>65</xdr:row>
          <xdr:rowOff>38100</xdr:rowOff>
        </xdr:to>
        <xdr:sp macro="" textlink="">
          <xdr:nvSpPr>
            <xdr:cNvPr id="3073" name="UC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0</xdr:rowOff>
    </xdr:from>
    <xdr:to>
      <xdr:col>11</xdr:col>
      <xdr:colOff>738621</xdr:colOff>
      <xdr:row>4</xdr:row>
      <xdr:rowOff>11257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4295775" y="161925"/>
          <a:ext cx="4300971" cy="49703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104775</xdr:rowOff>
    </xdr:from>
    <xdr:to>
      <xdr:col>11</xdr:col>
      <xdr:colOff>814821</xdr:colOff>
      <xdr:row>3</xdr:row>
      <xdr:rowOff>116032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4981575" y="104775"/>
          <a:ext cx="4300971" cy="49703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rgbClr val="FF0000"/>
              </a:solidFill>
            </a:rPr>
            <a:t>OBS: formula MUST e EUST atualizada por macro quando atualizados dados da planilha DADOS - Diversos.</a:t>
          </a:r>
        </a:p>
        <a:p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10</xdr:col>
      <xdr:colOff>523875</xdr:colOff>
      <xdr:row>1</xdr:row>
      <xdr:rowOff>133350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5772150" y="19050"/>
          <a:ext cx="4781550" cy="3048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152400</xdr:rowOff>
    </xdr:from>
    <xdr:to>
      <xdr:col>13</xdr:col>
      <xdr:colOff>428625</xdr:colOff>
      <xdr:row>3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8058150" y="152400"/>
          <a:ext cx="5600700" cy="5334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0</xdr:row>
          <xdr:rowOff>152400</xdr:rowOff>
        </xdr:from>
        <xdr:to>
          <xdr:col>11</xdr:col>
          <xdr:colOff>304800</xdr:colOff>
          <xdr:row>2</xdr:row>
          <xdr:rowOff>57150</xdr:rowOff>
        </xdr:to>
        <xdr:sp macro="" textlink="">
          <xdr:nvSpPr>
            <xdr:cNvPr id="17409" name="ImpCod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2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</xdr:row>
          <xdr:rowOff>85725</xdr:rowOff>
        </xdr:from>
        <xdr:to>
          <xdr:col>11</xdr:col>
          <xdr:colOff>381000</xdr:colOff>
          <xdr:row>5</xdr:row>
          <xdr:rowOff>0</xdr:rowOff>
        </xdr:to>
        <xdr:sp macro="" textlink="">
          <xdr:nvSpPr>
            <xdr:cNvPr id="17410" name="CarrTR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2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38099</xdr:colOff>
      <xdr:row>0</xdr:row>
      <xdr:rowOff>114300</xdr:rowOff>
    </xdr:from>
    <xdr:to>
      <xdr:col>6</xdr:col>
      <xdr:colOff>419100</xdr:colOff>
      <xdr:row>4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123824" y="114300"/>
          <a:ext cx="7534276" cy="6667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Carregamento de dados no BD-TR:</a:t>
          </a:r>
          <a:r>
            <a:rPr lang="pt-BR" sz="1100"/>
            <a:t> </a:t>
          </a:r>
        </a:p>
        <a:p>
          <a:r>
            <a:rPr lang="pt-BR" sz="1100"/>
            <a:t>preencher</a:t>
          </a:r>
          <a:r>
            <a:rPr lang="pt-BR" sz="1100" baseline="0"/>
            <a:t> as células em cinza de acordo com a coluna OBSERVAÇÃO.  </a:t>
          </a:r>
        </a:p>
        <a:p>
          <a:r>
            <a:rPr lang="pt-BR" sz="1100" baseline="0"/>
            <a:t>Lista de acessantes nominais na CAPA. Definir vigência das TR (reajustes tarifários)</a:t>
          </a:r>
        </a:p>
        <a:p>
          <a:endParaRPr lang="pt-BR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</xdr:row>
          <xdr:rowOff>152400</xdr:rowOff>
        </xdr:from>
        <xdr:to>
          <xdr:col>7</xdr:col>
          <xdr:colOff>809625</xdr:colOff>
          <xdr:row>1</xdr:row>
          <xdr:rowOff>447675</xdr:rowOff>
        </xdr:to>
        <xdr:sp macro="" textlink="">
          <xdr:nvSpPr>
            <xdr:cNvPr id="23553" name="CommandButton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38100</xdr:colOff>
      <xdr:row>0</xdr:row>
      <xdr:rowOff>104775</xdr:rowOff>
    </xdr:from>
    <xdr:to>
      <xdr:col>5</xdr:col>
      <xdr:colOff>247651</xdr:colOff>
      <xdr:row>2</xdr:row>
      <xdr:rowOff>114300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38100" y="104775"/>
          <a:ext cx="6915151" cy="6667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Carregamento de dados no BD-TR:</a:t>
          </a:r>
          <a:r>
            <a:rPr lang="pt-BR" sz="1100"/>
            <a:t> FIO</a:t>
          </a:r>
          <a:r>
            <a:rPr lang="pt-BR" sz="1100" baseline="0"/>
            <a:t> B - grupo B (R$/kW) para cálculo ERD, FC para cálculo da TFSEE</a:t>
          </a:r>
        </a:p>
        <a:p>
          <a:r>
            <a:rPr lang="pt-BR" sz="1100"/>
            <a:t>preencher</a:t>
          </a:r>
          <a:r>
            <a:rPr lang="pt-BR" sz="1100" baseline="0"/>
            <a:t> as células em cinza de acordo com a coluna OBSERVAÇÃO.  </a:t>
          </a:r>
        </a:p>
        <a:p>
          <a:r>
            <a:rPr lang="pt-BR" sz="1100" baseline="0"/>
            <a:t>No acessante, preencher o código do acessante (conf. aba Lista Código)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46573</xdr:colOff>
      <xdr:row>204</xdr:row>
      <xdr:rowOff>17040</xdr:rowOff>
    </xdr:from>
    <xdr:to>
      <xdr:col>9</xdr:col>
      <xdr:colOff>851366</xdr:colOff>
      <xdr:row>226</xdr:row>
      <xdr:rowOff>133650</xdr:rowOff>
    </xdr:to>
    <xdr:graphicFrame macro="">
      <xdr:nvGraphicFramePr>
        <xdr:cNvPr id="6" name="GRAPH_NTctagregado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30617</xdr:colOff>
      <xdr:row>40</xdr:row>
      <xdr:rowOff>111233</xdr:rowOff>
    </xdr:from>
    <xdr:to>
      <xdr:col>43</xdr:col>
      <xdr:colOff>495979</xdr:colOff>
      <xdr:row>52</xdr:row>
      <xdr:rowOff>204444</xdr:rowOff>
    </xdr:to>
    <xdr:graphicFrame macro="">
      <xdr:nvGraphicFramePr>
        <xdr:cNvPr id="8" name="Graph_NTev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25513</xdr:colOff>
      <xdr:row>88</xdr:row>
      <xdr:rowOff>127566</xdr:rowOff>
    </xdr:from>
    <xdr:to>
      <xdr:col>7</xdr:col>
      <xdr:colOff>382701</xdr:colOff>
      <xdr:row>103</xdr:row>
      <xdr:rowOff>8503</xdr:rowOff>
    </xdr:to>
    <xdr:graphicFrame macro="">
      <xdr:nvGraphicFramePr>
        <xdr:cNvPr id="13" name="GRAPH_NTefeitosubgrupo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51025</xdr:colOff>
      <xdr:row>87</xdr:row>
      <xdr:rowOff>42522</xdr:rowOff>
    </xdr:from>
    <xdr:to>
      <xdr:col>2</xdr:col>
      <xdr:colOff>961004</xdr:colOff>
      <xdr:row>88</xdr:row>
      <xdr:rowOff>71900</xdr:rowOff>
    </xdr:to>
    <xdr:sp macro="" textlink="">
      <xdr:nvSpPr>
        <xdr:cNvPr id="17" name="CaixaDeTexto 1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 txBox="1"/>
      </xdr:nvSpPr>
      <xdr:spPr>
        <a:xfrm>
          <a:off x="51025" y="18990468"/>
          <a:ext cx="3112635" cy="216477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1 - EFEITO MÉDIO SUBGRUPO</a:t>
          </a:r>
          <a:endParaRPr lang="pt-BR" sz="1100" b="1"/>
        </a:p>
      </xdr:txBody>
    </xdr:sp>
    <xdr:clientData/>
  </xdr:twoCellAnchor>
  <xdr:twoCellAnchor>
    <xdr:from>
      <xdr:col>0</xdr:col>
      <xdr:colOff>51027</xdr:colOff>
      <xdr:row>105</xdr:row>
      <xdr:rowOff>102054</xdr:rowOff>
    </xdr:from>
    <xdr:to>
      <xdr:col>5</xdr:col>
      <xdr:colOff>688046</xdr:colOff>
      <xdr:row>119</xdr:row>
      <xdr:rowOff>100270</xdr:rowOff>
    </xdr:to>
    <xdr:graphicFrame macro="">
      <xdr:nvGraphicFramePr>
        <xdr:cNvPr id="19" name="GRAPH_NTefeitotusd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969510</xdr:colOff>
      <xdr:row>105</xdr:row>
      <xdr:rowOff>29379</xdr:rowOff>
    </xdr:to>
    <xdr:sp macro="" textlink="">
      <xdr:nvSpPr>
        <xdr:cNvPr id="21" name="CaixaDeTexto 1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59531" y="22128616"/>
          <a:ext cx="3112635" cy="216477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2 - EFEITO MÉDIO TUSD</a:t>
          </a:r>
          <a:endParaRPr lang="pt-BR" sz="1100" b="1"/>
        </a:p>
      </xdr:txBody>
    </xdr:sp>
    <xdr:clientData/>
  </xdr:twoCellAnchor>
  <xdr:twoCellAnchor>
    <xdr:from>
      <xdr:col>1</xdr:col>
      <xdr:colOff>25514</xdr:colOff>
      <xdr:row>120</xdr:row>
      <xdr:rowOff>8504</xdr:rowOff>
    </xdr:from>
    <xdr:to>
      <xdr:col>2</xdr:col>
      <xdr:colOff>995024</xdr:colOff>
      <xdr:row>121</xdr:row>
      <xdr:rowOff>37883</xdr:rowOff>
    </xdr:to>
    <xdr:sp macro="" textlink="">
      <xdr:nvSpPr>
        <xdr:cNvPr id="22" name="CaixaDeTexto 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85045" y="25130692"/>
          <a:ext cx="3112635" cy="216477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3 - EFEITO MÉDIO TE</a:t>
          </a:r>
          <a:endParaRPr lang="pt-BR" sz="1100" b="1"/>
        </a:p>
      </xdr:txBody>
    </xdr:sp>
    <xdr:clientData/>
  </xdr:twoCellAnchor>
  <xdr:twoCellAnchor>
    <xdr:from>
      <xdr:col>1</xdr:col>
      <xdr:colOff>8503</xdr:colOff>
      <xdr:row>121</xdr:row>
      <xdr:rowOff>93550</xdr:rowOff>
    </xdr:from>
    <xdr:to>
      <xdr:col>5</xdr:col>
      <xdr:colOff>705053</xdr:colOff>
      <xdr:row>135</xdr:row>
      <xdr:rowOff>91766</xdr:rowOff>
    </xdr:to>
    <xdr:graphicFrame macro="">
      <xdr:nvGraphicFramePr>
        <xdr:cNvPr id="23" name="GRAPH_NTefeitote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17010</xdr:colOff>
      <xdr:row>135</xdr:row>
      <xdr:rowOff>170088</xdr:rowOff>
    </xdr:from>
    <xdr:to>
      <xdr:col>2</xdr:col>
      <xdr:colOff>986520</xdr:colOff>
      <xdr:row>137</xdr:row>
      <xdr:rowOff>12369</xdr:rowOff>
    </xdr:to>
    <xdr:sp macro="" textlink="">
      <xdr:nvSpPr>
        <xdr:cNvPr id="24" name="CaixaDeTexto 1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76541" y="28098749"/>
          <a:ext cx="3112635" cy="216477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4 - EFEITO MÉDIO - CATIVO</a:t>
          </a:r>
          <a:endParaRPr lang="pt-BR" sz="1100" b="1"/>
        </a:p>
      </xdr:txBody>
    </xdr:sp>
    <xdr:clientData/>
  </xdr:twoCellAnchor>
  <xdr:twoCellAnchor>
    <xdr:from>
      <xdr:col>1</xdr:col>
      <xdr:colOff>0</xdr:colOff>
      <xdr:row>137</xdr:row>
      <xdr:rowOff>59531</xdr:rowOff>
    </xdr:from>
    <xdr:to>
      <xdr:col>5</xdr:col>
      <xdr:colOff>696550</xdr:colOff>
      <xdr:row>151</xdr:row>
      <xdr:rowOff>57747</xdr:rowOff>
    </xdr:to>
    <xdr:graphicFrame macro="">
      <xdr:nvGraphicFramePr>
        <xdr:cNvPr id="25" name="GRAPH_NTefeitocativo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25513</xdr:colOff>
      <xdr:row>151</xdr:row>
      <xdr:rowOff>153081</xdr:rowOff>
    </xdr:from>
    <xdr:to>
      <xdr:col>2</xdr:col>
      <xdr:colOff>995023</xdr:colOff>
      <xdr:row>152</xdr:row>
      <xdr:rowOff>182461</xdr:rowOff>
    </xdr:to>
    <xdr:sp macro="" textlink="">
      <xdr:nvSpPr>
        <xdr:cNvPr id="26" name="CaixaDeTexto 1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85044" y="30956251"/>
          <a:ext cx="3112635" cy="216478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5 - EFEITO MÉDIO - DEMAIS ACESSANTES</a:t>
          </a:r>
          <a:endParaRPr lang="pt-BR" sz="1100" b="1"/>
        </a:p>
      </xdr:txBody>
    </xdr:sp>
    <xdr:clientData/>
  </xdr:twoCellAnchor>
  <xdr:twoCellAnchor>
    <xdr:from>
      <xdr:col>1</xdr:col>
      <xdr:colOff>8505</xdr:colOff>
      <xdr:row>153</xdr:row>
      <xdr:rowOff>51026</xdr:rowOff>
    </xdr:from>
    <xdr:to>
      <xdr:col>5</xdr:col>
      <xdr:colOff>705055</xdr:colOff>
      <xdr:row>167</xdr:row>
      <xdr:rowOff>49242</xdr:rowOff>
    </xdr:to>
    <xdr:graphicFrame macro="">
      <xdr:nvGraphicFramePr>
        <xdr:cNvPr id="27" name="GRAPH_NTefeitodemais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68036</xdr:colOff>
      <xdr:row>167</xdr:row>
      <xdr:rowOff>161585</xdr:rowOff>
    </xdr:from>
    <xdr:to>
      <xdr:col>2</xdr:col>
      <xdr:colOff>1037546</xdr:colOff>
      <xdr:row>169</xdr:row>
      <xdr:rowOff>3866</xdr:rowOff>
    </xdr:to>
    <xdr:sp macro="" textlink="">
      <xdr:nvSpPr>
        <xdr:cNvPr id="28" name="CaixaDeTexto 1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127567" y="33958326"/>
          <a:ext cx="3112635" cy="216478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X - CONSUMIDOR TIPO - AT-2</a:t>
          </a:r>
          <a:endParaRPr lang="pt-BR" sz="1100" b="1"/>
        </a:p>
      </xdr:txBody>
    </xdr:sp>
    <xdr:clientData/>
  </xdr:twoCellAnchor>
  <xdr:twoCellAnchor>
    <xdr:from>
      <xdr:col>1</xdr:col>
      <xdr:colOff>8505</xdr:colOff>
      <xdr:row>169</xdr:row>
      <xdr:rowOff>68036</xdr:rowOff>
    </xdr:from>
    <xdr:to>
      <xdr:col>5</xdr:col>
      <xdr:colOff>782411</xdr:colOff>
      <xdr:row>184</xdr:row>
      <xdr:rowOff>170429</xdr:rowOff>
    </xdr:to>
    <xdr:graphicFrame macro="">
      <xdr:nvGraphicFramePr>
        <xdr:cNvPr id="29" name="GRAPH_NTctAT2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34017</xdr:colOff>
      <xdr:row>185</xdr:row>
      <xdr:rowOff>85044</xdr:rowOff>
    </xdr:from>
    <xdr:to>
      <xdr:col>2</xdr:col>
      <xdr:colOff>1003527</xdr:colOff>
      <xdr:row>186</xdr:row>
      <xdr:rowOff>114424</xdr:rowOff>
    </xdr:to>
    <xdr:sp macro="" textlink="">
      <xdr:nvSpPr>
        <xdr:cNvPr id="30" name="CaixaDeTexto 1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93548" y="37292075"/>
          <a:ext cx="3112635" cy="216478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X - CONSUMIDOR TIPO - AT-3</a:t>
          </a:r>
          <a:endParaRPr lang="pt-BR" sz="1100" b="1"/>
        </a:p>
      </xdr:txBody>
    </xdr:sp>
    <xdr:clientData/>
  </xdr:twoCellAnchor>
  <xdr:twoCellAnchor>
    <xdr:from>
      <xdr:col>1</xdr:col>
      <xdr:colOff>0</xdr:colOff>
      <xdr:row>186</xdr:row>
      <xdr:rowOff>153081</xdr:rowOff>
    </xdr:from>
    <xdr:to>
      <xdr:col>5</xdr:col>
      <xdr:colOff>773906</xdr:colOff>
      <xdr:row>202</xdr:row>
      <xdr:rowOff>68375</xdr:rowOff>
    </xdr:to>
    <xdr:graphicFrame macro="">
      <xdr:nvGraphicFramePr>
        <xdr:cNvPr id="31" name="GRAPH_NTctAT3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136072</xdr:colOff>
      <xdr:row>167</xdr:row>
      <xdr:rowOff>170090</xdr:rowOff>
    </xdr:from>
    <xdr:to>
      <xdr:col>9</xdr:col>
      <xdr:colOff>323171</xdr:colOff>
      <xdr:row>169</xdr:row>
      <xdr:rowOff>12371</xdr:rowOff>
    </xdr:to>
    <xdr:sp macro="" textlink="">
      <xdr:nvSpPr>
        <xdr:cNvPr id="32" name="CaixaDeTexto 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SpPr txBox="1"/>
      </xdr:nvSpPr>
      <xdr:spPr>
        <a:xfrm>
          <a:off x="6616474" y="34009353"/>
          <a:ext cx="3112635" cy="216478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X - CONSUMIDOR TIPO - MT</a:t>
          </a:r>
          <a:endParaRPr lang="pt-BR" sz="1100" b="1"/>
        </a:p>
      </xdr:txBody>
    </xdr:sp>
    <xdr:clientData/>
  </xdr:twoCellAnchor>
  <xdr:twoCellAnchor>
    <xdr:from>
      <xdr:col>6</xdr:col>
      <xdr:colOff>102053</xdr:colOff>
      <xdr:row>169</xdr:row>
      <xdr:rowOff>59531</xdr:rowOff>
    </xdr:from>
    <xdr:to>
      <xdr:col>12</xdr:col>
      <xdr:colOff>637835</xdr:colOff>
      <xdr:row>184</xdr:row>
      <xdr:rowOff>161924</xdr:rowOff>
    </xdr:to>
    <xdr:graphicFrame macro="">
      <xdr:nvGraphicFramePr>
        <xdr:cNvPr id="33" name="GRAPH_NTctMT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110558</xdr:colOff>
      <xdr:row>185</xdr:row>
      <xdr:rowOff>93550</xdr:rowOff>
    </xdr:from>
    <xdr:to>
      <xdr:col>9</xdr:col>
      <xdr:colOff>297657</xdr:colOff>
      <xdr:row>186</xdr:row>
      <xdr:rowOff>122930</xdr:rowOff>
    </xdr:to>
    <xdr:sp macro="" textlink="">
      <xdr:nvSpPr>
        <xdr:cNvPr id="34" name="CaixaDeTexto 1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SpPr txBox="1"/>
      </xdr:nvSpPr>
      <xdr:spPr>
        <a:xfrm>
          <a:off x="6590960" y="37300581"/>
          <a:ext cx="3112635" cy="216478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X - CONSUMIDOR TIPO - BT</a:t>
          </a:r>
          <a:endParaRPr lang="pt-BR" sz="1100" b="1"/>
        </a:p>
      </xdr:txBody>
    </xdr:sp>
    <xdr:clientData/>
  </xdr:twoCellAnchor>
  <xdr:twoCellAnchor>
    <xdr:from>
      <xdr:col>6</xdr:col>
      <xdr:colOff>102053</xdr:colOff>
      <xdr:row>186</xdr:row>
      <xdr:rowOff>153081</xdr:rowOff>
    </xdr:from>
    <xdr:to>
      <xdr:col>12</xdr:col>
      <xdr:colOff>637835</xdr:colOff>
      <xdr:row>202</xdr:row>
      <xdr:rowOff>68375</xdr:rowOff>
    </xdr:to>
    <xdr:graphicFrame macro="">
      <xdr:nvGraphicFramePr>
        <xdr:cNvPr id="35" name="GRAPH_NTctBT">
          <a:extLst>
            <a:ext uri="{FF2B5EF4-FFF2-40B4-BE49-F238E27FC236}">
              <a16:creationId xmlns:a16="http://schemas.microsoft.com/office/drawing/2014/main" id="{00000000-0008-0000-14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8505</xdr:colOff>
      <xdr:row>202</xdr:row>
      <xdr:rowOff>127566</xdr:rowOff>
    </xdr:from>
    <xdr:to>
      <xdr:col>2</xdr:col>
      <xdr:colOff>978015</xdr:colOff>
      <xdr:row>203</xdr:row>
      <xdr:rowOff>156946</xdr:rowOff>
    </xdr:to>
    <xdr:sp macro="" textlink="">
      <xdr:nvSpPr>
        <xdr:cNvPr id="36" name="CaixaDeTexto 1">
          <a:extLst>
            <a:ext uri="{FF2B5EF4-FFF2-40B4-BE49-F238E27FC236}">
              <a16:creationId xmlns:a16="http://schemas.microsoft.com/office/drawing/2014/main" id="{00000000-0008-0000-1400-000024000000}"/>
            </a:ext>
          </a:extLst>
        </xdr:cNvPr>
        <xdr:cNvSpPr txBox="1"/>
      </xdr:nvSpPr>
      <xdr:spPr>
        <a:xfrm>
          <a:off x="68036" y="40515267"/>
          <a:ext cx="3112635" cy="216478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>
              <a:solidFill>
                <a:schemeClr val="bg1"/>
              </a:solidFill>
            </a:rPr>
            <a:t>GRÁFICO</a:t>
          </a:r>
          <a:r>
            <a:rPr lang="pt-BR" sz="1100" b="1" baseline="0">
              <a:solidFill>
                <a:schemeClr val="bg1"/>
              </a:solidFill>
            </a:rPr>
            <a:t> X - CONSUMIDOR TIPO - AGREGADO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37481</xdr:colOff>
      <xdr:row>39</xdr:row>
      <xdr:rowOff>110098</xdr:rowOff>
    </xdr:from>
    <xdr:to>
      <xdr:col>40</xdr:col>
      <xdr:colOff>137734</xdr:colOff>
      <xdr:row>40</xdr:row>
      <xdr:rowOff>113962</xdr:rowOff>
    </xdr:to>
    <xdr:sp macro="" textlink="">
      <xdr:nvSpPr>
        <xdr:cNvPr id="38" name="CaixaDeTexto 1">
          <a:extLst>
            <a:ext uri="{FF2B5EF4-FFF2-40B4-BE49-F238E27FC236}">
              <a16:creationId xmlns:a16="http://schemas.microsoft.com/office/drawing/2014/main" id="{00000000-0008-0000-1400-000026000000}"/>
            </a:ext>
          </a:extLst>
        </xdr:cNvPr>
        <xdr:cNvSpPr txBox="1"/>
      </xdr:nvSpPr>
      <xdr:spPr>
        <a:xfrm>
          <a:off x="29632216" y="8749833"/>
          <a:ext cx="3125842" cy="216776"/>
        </a:xfrm>
        <a:prstGeom prst="rect">
          <a:avLst/>
        </a:prstGeom>
        <a:solidFill>
          <a:srgbClr val="215967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100" b="1"/>
            <a:t>GRÁFICO</a:t>
          </a:r>
          <a:r>
            <a:rPr lang="pt-BR" sz="1100" b="1" baseline="0"/>
            <a:t> X - ESTRUTURA VERTICAL</a:t>
          </a:r>
          <a:endParaRPr lang="pt-B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</xdr:row>
          <xdr:rowOff>76200</xdr:rowOff>
        </xdr:from>
        <xdr:to>
          <xdr:col>6</xdr:col>
          <xdr:colOff>9525</xdr:colOff>
          <xdr:row>3</xdr:row>
          <xdr:rowOff>152400</xdr:rowOff>
        </xdr:to>
        <xdr:sp macro="" textlink="">
          <xdr:nvSpPr>
            <xdr:cNvPr id="24581" name="CommandButton1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4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586808</xdr:colOff>
      <xdr:row>2</xdr:row>
      <xdr:rowOff>187098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5391830" y="6123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0.7542</cdr:x>
      <cdr:y>0.03214</cdr:y>
    </cdr:from>
    <cdr:to>
      <cdr:x>0.87248</cdr:x>
      <cdr:y>0.95178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7700916" y="137043"/>
          <a:ext cx="1207725" cy="39213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  <a:alpha val="56000"/>
          </a:schemeClr>
        </a:solidFill>
        <a:ln xmlns:a="http://schemas.openxmlformats.org/drawingml/2006/main">
          <a:solidFill>
            <a:schemeClr val="accent3">
              <a:alpha val="5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t"/>
        <a:lstStyle xmlns:a="http://schemas.openxmlformats.org/drawingml/2006/main"/>
        <a:p xmlns:a="http://schemas.openxmlformats.org/drawingml/2006/main">
          <a:pPr algn="ctr"/>
          <a:r>
            <a:rPr lang="pt-BR" b="1"/>
            <a:t>POSTO PONTA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50</xdr:row>
          <xdr:rowOff>95250</xdr:rowOff>
        </xdr:from>
        <xdr:to>
          <xdr:col>17</xdr:col>
          <xdr:colOff>314325</xdr:colOff>
          <xdr:row>52</xdr:row>
          <xdr:rowOff>104775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52</xdr:row>
          <xdr:rowOff>133350</xdr:rowOff>
        </xdr:from>
        <xdr:to>
          <xdr:col>17</xdr:col>
          <xdr:colOff>314325</xdr:colOff>
          <xdr:row>54</xdr:row>
          <xdr:rowOff>142875</xdr:rowOff>
        </xdr:to>
        <xdr:sp macro="" textlink="">
          <xdr:nvSpPr>
            <xdr:cNvPr id="1027" name="CommandButton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55</xdr:row>
          <xdr:rowOff>9525</xdr:rowOff>
        </xdr:from>
        <xdr:to>
          <xdr:col>17</xdr:col>
          <xdr:colOff>314325</xdr:colOff>
          <xdr:row>57</xdr:row>
          <xdr:rowOff>19050</xdr:rowOff>
        </xdr:to>
        <xdr:sp macro="" textlink="">
          <xdr:nvSpPr>
            <xdr:cNvPr id="1028" name="CommandButton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57</xdr:row>
          <xdr:rowOff>47625</xdr:rowOff>
        </xdr:from>
        <xdr:to>
          <xdr:col>17</xdr:col>
          <xdr:colOff>314325</xdr:colOff>
          <xdr:row>59</xdr:row>
          <xdr:rowOff>57150</xdr:rowOff>
        </xdr:to>
        <xdr:sp macro="" textlink="">
          <xdr:nvSpPr>
            <xdr:cNvPr id="1029" name="CommandButton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60</xdr:row>
          <xdr:rowOff>0</xdr:rowOff>
        </xdr:from>
        <xdr:to>
          <xdr:col>17</xdr:col>
          <xdr:colOff>447675</xdr:colOff>
          <xdr:row>62</xdr:row>
          <xdr:rowOff>9525</xdr:rowOff>
        </xdr:to>
        <xdr:sp macro="" textlink="">
          <xdr:nvSpPr>
            <xdr:cNvPr id="1030" name="CommandButton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62</xdr:row>
          <xdr:rowOff>28575</xdr:rowOff>
        </xdr:from>
        <xdr:to>
          <xdr:col>17</xdr:col>
          <xdr:colOff>447675</xdr:colOff>
          <xdr:row>64</xdr:row>
          <xdr:rowOff>38100</xdr:rowOff>
        </xdr:to>
        <xdr:sp macro="" textlink="">
          <xdr:nvSpPr>
            <xdr:cNvPr id="1031" name="CommandButton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64</xdr:row>
          <xdr:rowOff>57150</xdr:rowOff>
        </xdr:from>
        <xdr:to>
          <xdr:col>17</xdr:col>
          <xdr:colOff>447675</xdr:colOff>
          <xdr:row>66</xdr:row>
          <xdr:rowOff>66675</xdr:rowOff>
        </xdr:to>
        <xdr:sp macro="" textlink="">
          <xdr:nvSpPr>
            <xdr:cNvPr id="1032" name="CommandButton7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66</xdr:row>
          <xdr:rowOff>85725</xdr:rowOff>
        </xdr:from>
        <xdr:to>
          <xdr:col>17</xdr:col>
          <xdr:colOff>447675</xdr:colOff>
          <xdr:row>68</xdr:row>
          <xdr:rowOff>95250</xdr:rowOff>
        </xdr:to>
        <xdr:sp macro="" textlink="">
          <xdr:nvSpPr>
            <xdr:cNvPr id="1033" name="CommandButton8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47622</xdr:colOff>
      <xdr:row>46</xdr:row>
      <xdr:rowOff>19050</xdr:rowOff>
    </xdr:from>
    <xdr:to>
      <xdr:col>21</xdr:col>
      <xdr:colOff>314324</xdr:colOff>
      <xdr:row>49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287247" y="7505700"/>
          <a:ext cx="3133727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i="1">
              <a:solidFill>
                <a:srgbClr val="FF0000"/>
              </a:solidFill>
            </a:rPr>
            <a:t>* Não mudar tabela de local (linha 50)</a:t>
          </a:r>
        </a:p>
        <a:p>
          <a:r>
            <a:rPr lang="pt-BR" sz="1100" i="1">
              <a:solidFill>
                <a:srgbClr val="FF0000"/>
              </a:solidFill>
            </a:rPr>
            <a:t>* selecionar mais de um arquivo (se necessário)</a:t>
          </a:r>
        </a:p>
      </xdr:txBody>
    </xdr:sp>
    <xdr:clientData/>
  </xdr:twoCellAnchor>
  <xdr:twoCellAnchor>
    <xdr:from>
      <xdr:col>8</xdr:col>
      <xdr:colOff>104775</xdr:colOff>
      <xdr:row>0</xdr:row>
      <xdr:rowOff>47625</xdr:rowOff>
    </xdr:from>
    <xdr:to>
      <xdr:col>14</xdr:col>
      <xdr:colOff>476250</xdr:colOff>
      <xdr:row>3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191250" y="47625"/>
          <a:ext cx="56388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19050</xdr:rowOff>
        </xdr:from>
        <xdr:to>
          <xdr:col>4</xdr:col>
          <xdr:colOff>400050</xdr:colOff>
          <xdr:row>3</xdr:row>
          <xdr:rowOff>114300</xdr:rowOff>
        </xdr:to>
        <xdr:sp macro="" textlink="">
          <xdr:nvSpPr>
            <xdr:cNvPr id="1035" name="SalCam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28575</xdr:rowOff>
        </xdr:from>
        <xdr:to>
          <xdr:col>4</xdr:col>
          <xdr:colOff>666750</xdr:colOff>
          <xdr:row>34</xdr:row>
          <xdr:rowOff>19050</xdr:rowOff>
        </xdr:to>
        <xdr:sp macro="" textlink="">
          <xdr:nvSpPr>
            <xdr:cNvPr id="6149" name="carrBDL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32</xdr:row>
          <xdr:rowOff>19050</xdr:rowOff>
        </xdr:from>
        <xdr:to>
          <xdr:col>5</xdr:col>
          <xdr:colOff>1095375</xdr:colOff>
          <xdr:row>33</xdr:row>
          <xdr:rowOff>152400</xdr:rowOff>
        </xdr:to>
        <xdr:sp macro="" textlink="">
          <xdr:nvSpPr>
            <xdr:cNvPr id="6150" name="gerarXML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116417</xdr:colOff>
      <xdr:row>0</xdr:row>
      <xdr:rowOff>74084</xdr:rowOff>
    </xdr:from>
    <xdr:to>
      <xdr:col>12</xdr:col>
      <xdr:colOff>251884</xdr:colOff>
      <xdr:row>4</xdr:row>
      <xdr:rowOff>49742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503584" y="74084"/>
          <a:ext cx="56388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95250</xdr:rowOff>
    </xdr:from>
    <xdr:to>
      <xdr:col>15</xdr:col>
      <xdr:colOff>171450</xdr:colOff>
      <xdr:row>4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286500" y="95250"/>
          <a:ext cx="56388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1381125</xdr:colOff>
          <xdr:row>32</xdr:row>
          <xdr:rowOff>19050</xdr:rowOff>
        </xdr:from>
        <xdr:to>
          <xdr:col>3</xdr:col>
          <xdr:colOff>800100</xdr:colOff>
          <xdr:row>33</xdr:row>
          <xdr:rowOff>142875</xdr:rowOff>
        </xdr:to>
        <xdr:sp macro="" textlink="">
          <xdr:nvSpPr>
            <xdr:cNvPr id="9217" name="SalAt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1038225</xdr:colOff>
          <xdr:row>0</xdr:row>
          <xdr:rowOff>66675</xdr:rowOff>
        </xdr:from>
        <xdr:to>
          <xdr:col>1</xdr:col>
          <xdr:colOff>2628900</xdr:colOff>
          <xdr:row>2</xdr:row>
          <xdr:rowOff>28575</xdr:rowOff>
        </xdr:to>
        <xdr:sp macro="" textlink="">
          <xdr:nvSpPr>
            <xdr:cNvPr id="7170" name="CommandButton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28</xdr:row>
          <xdr:rowOff>38100</xdr:rowOff>
        </xdr:from>
        <xdr:to>
          <xdr:col>7</xdr:col>
          <xdr:colOff>628650</xdr:colOff>
          <xdr:row>30</xdr:row>
          <xdr:rowOff>0</xdr:rowOff>
        </xdr:to>
        <xdr:sp macro="" textlink="">
          <xdr:nvSpPr>
            <xdr:cNvPr id="7171" name="fppXML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85725</xdr:colOff>
      <xdr:row>0</xdr:row>
      <xdr:rowOff>104775</xdr:rowOff>
    </xdr:from>
    <xdr:to>
      <xdr:col>11</xdr:col>
      <xdr:colOff>828675</xdr:colOff>
      <xdr:row>3</xdr:row>
      <xdr:rowOff>123825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029700" y="104775"/>
          <a:ext cx="56388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2200275</xdr:colOff>
          <xdr:row>64</xdr:row>
          <xdr:rowOff>28575</xdr:rowOff>
        </xdr:from>
        <xdr:to>
          <xdr:col>2</xdr:col>
          <xdr:colOff>342900</xdr:colOff>
          <xdr:row>65</xdr:row>
          <xdr:rowOff>152400</xdr:rowOff>
        </xdr:to>
        <xdr:sp macro="" textlink="">
          <xdr:nvSpPr>
            <xdr:cNvPr id="7172" name="CommandButton2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121</xdr:row>
      <xdr:rowOff>0</xdr:rowOff>
    </xdr:from>
    <xdr:to>
      <xdr:col>13</xdr:col>
      <xdr:colOff>9525</xdr:colOff>
      <xdr:row>121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1704975" y="19869150"/>
          <a:ext cx="7286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124</xdr:row>
      <xdr:rowOff>0</xdr:rowOff>
    </xdr:from>
    <xdr:to>
      <xdr:col>13</xdr:col>
      <xdr:colOff>9525</xdr:colOff>
      <xdr:row>124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1704975" y="20459700"/>
          <a:ext cx="7286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127</xdr:row>
      <xdr:rowOff>0</xdr:rowOff>
    </xdr:from>
    <xdr:to>
      <xdr:col>13</xdr:col>
      <xdr:colOff>9525</xdr:colOff>
      <xdr:row>127</xdr:row>
      <xdr:rowOff>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1704975" y="21050250"/>
          <a:ext cx="7286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130</xdr:row>
      <xdr:rowOff>0</xdr:rowOff>
    </xdr:from>
    <xdr:to>
      <xdr:col>13</xdr:col>
      <xdr:colOff>9525</xdr:colOff>
      <xdr:row>130</xdr:row>
      <xdr:rowOff>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1800225" y="3362325"/>
          <a:ext cx="7105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638175</xdr:colOff>
      <xdr:row>117</xdr:row>
      <xdr:rowOff>19050</xdr:rowOff>
    </xdr:from>
    <xdr:to>
      <xdr:col>12</xdr:col>
      <xdr:colOff>123825</xdr:colOff>
      <xdr:row>118</xdr:row>
      <xdr:rowOff>28575</xdr:rowOff>
    </xdr:to>
    <xdr:sp macro="" textlink="">
      <xdr:nvSpPr>
        <xdr:cNvPr id="43" name="Text Box 71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>
          <a:spLocks noChangeArrowheads="1"/>
        </xdr:cNvSpPr>
      </xdr:nvSpPr>
      <xdr:spPr bwMode="auto">
        <a:xfrm>
          <a:off x="7896225" y="19002375"/>
          <a:ext cx="400050" cy="209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AT-1</a:t>
          </a:r>
        </a:p>
      </xdr:txBody>
    </xdr:sp>
    <xdr:clientData/>
  </xdr:twoCellAnchor>
  <xdr:twoCellAnchor>
    <xdr:from>
      <xdr:col>4</xdr:col>
      <xdr:colOff>180975</xdr:colOff>
      <xdr:row>121</xdr:row>
      <xdr:rowOff>0</xdr:rowOff>
    </xdr:from>
    <xdr:to>
      <xdr:col>4</xdr:col>
      <xdr:colOff>400050</xdr:colOff>
      <xdr:row>124</xdr:row>
      <xdr:rowOff>0</xdr:rowOff>
    </xdr:to>
    <xdr:grpSp>
      <xdr:nvGrpSpPr>
        <xdr:cNvPr id="79" name="Grupo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GrpSpPr/>
      </xdr:nvGrpSpPr>
      <xdr:grpSpPr>
        <a:xfrm>
          <a:off x="1876425" y="19783425"/>
          <a:ext cx="219075" cy="600075"/>
          <a:chOff x="1876425" y="19783425"/>
          <a:chExt cx="219075" cy="600075"/>
        </a:xfrm>
      </xdr:grpSpPr>
      <xdr:sp macro="" textlink="">
        <xdr:nvSpPr>
          <xdr:cNvPr id="16" name="Line 19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1990725" y="19783425"/>
            <a:ext cx="0" cy="6000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diamond" w="med" len="med"/>
            <a:tailEnd type="diamond" w="med" len="med"/>
          </a:ln>
        </xdr:spPr>
      </xdr:sp>
      <xdr:grpSp>
        <xdr:nvGrpSpPr>
          <xdr:cNvPr id="50" name="Group 95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GrpSpPr>
            <a:grpSpLocks/>
          </xdr:cNvGrpSpPr>
        </xdr:nvGrpSpPr>
        <xdr:grpSpPr bwMode="auto">
          <a:xfrm>
            <a:off x="1876425" y="19926300"/>
            <a:ext cx="219075" cy="333375"/>
            <a:chOff x="480" y="145"/>
            <a:chExt cx="23" cy="29"/>
          </a:xfrm>
        </xdr:grpSpPr>
        <xdr:grpSp>
          <xdr:nvGrpSpPr>
            <xdr:cNvPr id="51" name="Group 96">
              <a:extLst>
                <a:ext uri="{FF2B5EF4-FFF2-40B4-BE49-F238E27FC236}">
                  <a16:creationId xmlns:a16="http://schemas.microsoft.com/office/drawing/2014/main" id="{00000000-0008-0000-0600-00003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80" y="145"/>
              <a:ext cx="23" cy="29"/>
              <a:chOff x="552" y="132"/>
              <a:chExt cx="23" cy="29"/>
            </a:xfrm>
          </xdr:grpSpPr>
          <xdr:sp macro="" textlink="">
            <xdr:nvSpPr>
              <xdr:cNvPr id="53" name="Oval 97">
                <a:extLst>
                  <a:ext uri="{FF2B5EF4-FFF2-40B4-BE49-F238E27FC236}">
                    <a16:creationId xmlns:a16="http://schemas.microsoft.com/office/drawing/2014/main" id="{00000000-0008-0000-0600-00003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32"/>
                <a:ext cx="23" cy="20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4" name="Oval 98">
                <a:extLst>
                  <a:ext uri="{FF2B5EF4-FFF2-40B4-BE49-F238E27FC236}">
                    <a16:creationId xmlns:a16="http://schemas.microsoft.com/office/drawing/2014/main" id="{00000000-0008-0000-0600-00003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41"/>
                <a:ext cx="23" cy="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52" name="Rectangle 99">
              <a:extLst>
                <a:ext uri="{FF2B5EF4-FFF2-40B4-BE49-F238E27FC236}">
                  <a16:creationId xmlns:a16="http://schemas.microsoft.com/office/drawing/2014/main" id="{00000000-0008-0000-0600-00003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166"/>
              <a:ext cx="6" cy="7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3</xdr:col>
      <xdr:colOff>9525</xdr:colOff>
      <xdr:row>117</xdr:row>
      <xdr:rowOff>114300</xdr:rowOff>
    </xdr:from>
    <xdr:to>
      <xdr:col>4</xdr:col>
      <xdr:colOff>85725</xdr:colOff>
      <xdr:row>117</xdr:row>
      <xdr:rowOff>114300</xdr:rowOff>
    </xdr:to>
    <xdr:cxnSp macro="">
      <xdr:nvCxnSpPr>
        <xdr:cNvPr id="65" name="Conector de seta reta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CxnSpPr/>
      </xdr:nvCxnSpPr>
      <xdr:spPr>
        <a:xfrm>
          <a:off x="1457325" y="19097625"/>
          <a:ext cx="323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642938</xdr:colOff>
      <xdr:row>118</xdr:row>
      <xdr:rowOff>9525</xdr:rowOff>
    </xdr:from>
    <xdr:to>
      <xdr:col>12</xdr:col>
      <xdr:colOff>652463</xdr:colOff>
      <xdr:row>119</xdr:row>
      <xdr:rowOff>104775</xdr:rowOff>
    </xdr:to>
    <xdr:cxnSp macro="">
      <xdr:nvCxnSpPr>
        <xdr:cNvPr id="67" name="Conector de seta reta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CxnSpPr/>
      </xdr:nvCxnSpPr>
      <xdr:spPr>
        <a:xfrm flipH="1">
          <a:off x="8815388" y="19192875"/>
          <a:ext cx="9525" cy="295275"/>
        </a:xfrm>
        <a:prstGeom prst="straightConnector1">
          <a:avLst/>
        </a:prstGeom>
        <a:ln w="5715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118</xdr:row>
      <xdr:rowOff>0</xdr:rowOff>
    </xdr:from>
    <xdr:to>
      <xdr:col>13</xdr:col>
      <xdr:colOff>0</xdr:colOff>
      <xdr:row>118</xdr:row>
      <xdr:rowOff>0</xdr:rowOff>
    </xdr:to>
    <xdr:sp macro="" textlink="">
      <xdr:nvSpPr>
        <xdr:cNvPr id="70" name="Line 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ShapeType="1"/>
        </xdr:cNvSpPr>
      </xdr:nvSpPr>
      <xdr:spPr bwMode="auto">
        <a:xfrm>
          <a:off x="1695450" y="19278600"/>
          <a:ext cx="7286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120</xdr:row>
      <xdr:rowOff>104775</xdr:rowOff>
    </xdr:from>
    <xdr:to>
      <xdr:col>4</xdr:col>
      <xdr:colOff>85725</xdr:colOff>
      <xdr:row>120</xdr:row>
      <xdr:rowOff>104775</xdr:rowOff>
    </xdr:to>
    <xdr:cxnSp macro="">
      <xdr:nvCxnSpPr>
        <xdr:cNvPr id="71" name="Conector de seta reta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CxnSpPr/>
      </xdr:nvCxnSpPr>
      <xdr:spPr>
        <a:xfrm>
          <a:off x="1457325" y="19688175"/>
          <a:ext cx="323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123</xdr:row>
      <xdr:rowOff>114300</xdr:rowOff>
    </xdr:from>
    <xdr:to>
      <xdr:col>4</xdr:col>
      <xdr:colOff>85725</xdr:colOff>
      <xdr:row>123</xdr:row>
      <xdr:rowOff>114300</xdr:rowOff>
    </xdr:to>
    <xdr:cxnSp macro="">
      <xdr:nvCxnSpPr>
        <xdr:cNvPr id="72" name="Conector de seta reta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CxnSpPr/>
      </xdr:nvCxnSpPr>
      <xdr:spPr>
        <a:xfrm>
          <a:off x="1457325" y="20288250"/>
          <a:ext cx="323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126</xdr:row>
      <xdr:rowOff>114300</xdr:rowOff>
    </xdr:from>
    <xdr:to>
      <xdr:col>4</xdr:col>
      <xdr:colOff>85725</xdr:colOff>
      <xdr:row>126</xdr:row>
      <xdr:rowOff>114300</xdr:rowOff>
    </xdr:to>
    <xdr:cxnSp macro="">
      <xdr:nvCxnSpPr>
        <xdr:cNvPr id="73" name="Conector de seta reta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>
          <a:off x="1457325" y="20974050"/>
          <a:ext cx="323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129</xdr:row>
      <xdr:rowOff>114300</xdr:rowOff>
    </xdr:from>
    <xdr:to>
      <xdr:col>4</xdr:col>
      <xdr:colOff>85725</xdr:colOff>
      <xdr:row>129</xdr:row>
      <xdr:rowOff>114300</xdr:rowOff>
    </xdr:to>
    <xdr:cxnSp macro="">
      <xdr:nvCxnSpPr>
        <xdr:cNvPr id="74" name="Conector de seta reta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1457325" y="21469350"/>
          <a:ext cx="3238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642938</xdr:colOff>
      <xdr:row>121</xdr:row>
      <xdr:rowOff>9525</xdr:rowOff>
    </xdr:from>
    <xdr:to>
      <xdr:col>12</xdr:col>
      <xdr:colOff>652463</xdr:colOff>
      <xdr:row>122</xdr:row>
      <xdr:rowOff>104775</xdr:rowOff>
    </xdr:to>
    <xdr:cxnSp macro="">
      <xdr:nvCxnSpPr>
        <xdr:cNvPr id="75" name="Conector de seta reta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 flipH="1">
          <a:off x="8815388" y="19792950"/>
          <a:ext cx="9525" cy="295275"/>
        </a:xfrm>
        <a:prstGeom prst="straightConnector1">
          <a:avLst/>
        </a:prstGeom>
        <a:ln w="5715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642938</xdr:colOff>
      <xdr:row>123</xdr:row>
      <xdr:rowOff>190500</xdr:rowOff>
    </xdr:from>
    <xdr:to>
      <xdr:col>12</xdr:col>
      <xdr:colOff>652463</xdr:colOff>
      <xdr:row>125</xdr:row>
      <xdr:rowOff>85725</xdr:rowOff>
    </xdr:to>
    <xdr:cxnSp macro="">
      <xdr:nvCxnSpPr>
        <xdr:cNvPr id="76" name="Conector de seta reta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 flipH="1">
          <a:off x="8815388" y="20373975"/>
          <a:ext cx="9525" cy="295275"/>
        </a:xfrm>
        <a:prstGeom prst="straightConnector1">
          <a:avLst/>
        </a:prstGeom>
        <a:ln w="5715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642938</xdr:colOff>
      <xdr:row>127</xdr:row>
      <xdr:rowOff>9525</xdr:rowOff>
    </xdr:from>
    <xdr:to>
      <xdr:col>12</xdr:col>
      <xdr:colOff>652463</xdr:colOff>
      <xdr:row>128</xdr:row>
      <xdr:rowOff>104775</xdr:rowOff>
    </xdr:to>
    <xdr:cxnSp macro="">
      <xdr:nvCxnSpPr>
        <xdr:cNvPr id="77" name="Conector de seta reta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 flipH="1">
          <a:off x="8815388" y="20993100"/>
          <a:ext cx="9525" cy="295275"/>
        </a:xfrm>
        <a:prstGeom prst="straightConnector1">
          <a:avLst/>
        </a:prstGeom>
        <a:ln w="5715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642938</xdr:colOff>
      <xdr:row>130</xdr:row>
      <xdr:rowOff>0</xdr:rowOff>
    </xdr:from>
    <xdr:to>
      <xdr:col>12</xdr:col>
      <xdr:colOff>652463</xdr:colOff>
      <xdr:row>131</xdr:row>
      <xdr:rowOff>95250</xdr:rowOff>
    </xdr:to>
    <xdr:cxnSp macro="">
      <xdr:nvCxnSpPr>
        <xdr:cNvPr id="78" name="Conector de seta reta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CxnSpPr/>
      </xdr:nvCxnSpPr>
      <xdr:spPr>
        <a:xfrm flipH="1">
          <a:off x="8815388" y="21583650"/>
          <a:ext cx="9525" cy="295275"/>
        </a:xfrm>
        <a:prstGeom prst="straightConnector1">
          <a:avLst/>
        </a:prstGeom>
        <a:ln w="5715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117</xdr:row>
      <xdr:rowOff>190500</xdr:rowOff>
    </xdr:from>
    <xdr:to>
      <xdr:col>5</xdr:col>
      <xdr:colOff>809625</xdr:colOff>
      <xdr:row>120</xdr:row>
      <xdr:rowOff>190500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GrpSpPr/>
      </xdr:nvGrpSpPr>
      <xdr:grpSpPr>
        <a:xfrm>
          <a:off x="2857500" y="19173825"/>
          <a:ext cx="219075" cy="600075"/>
          <a:chOff x="1876425" y="19783425"/>
          <a:chExt cx="219075" cy="600075"/>
        </a:xfrm>
      </xdr:grpSpPr>
      <xdr:sp macro="" textlink="">
        <xdr:nvSpPr>
          <xdr:cNvPr id="81" name="Line 19">
            <a:extLst>
              <a:ext uri="{FF2B5EF4-FFF2-40B4-BE49-F238E27FC236}">
                <a16:creationId xmlns:a16="http://schemas.microsoft.com/office/drawing/2014/main" id="{00000000-0008-0000-0600-000051000000}"/>
              </a:ext>
            </a:extLst>
          </xdr:cNvPr>
          <xdr:cNvSpPr>
            <a:spLocks noChangeShapeType="1"/>
          </xdr:cNvSpPr>
        </xdr:nvSpPr>
        <xdr:spPr bwMode="auto">
          <a:xfrm>
            <a:off x="1990725" y="19783425"/>
            <a:ext cx="0" cy="6000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diamond" w="med" len="med"/>
            <a:tailEnd type="diamond" w="med" len="med"/>
          </a:ln>
        </xdr:spPr>
      </xdr:sp>
      <xdr:grpSp>
        <xdr:nvGrpSpPr>
          <xdr:cNvPr id="82" name="Group 95">
            <a:extLst>
              <a:ext uri="{FF2B5EF4-FFF2-40B4-BE49-F238E27FC236}">
                <a16:creationId xmlns:a16="http://schemas.microsoft.com/office/drawing/2014/main" id="{00000000-0008-0000-0600-000052000000}"/>
              </a:ext>
            </a:extLst>
          </xdr:cNvPr>
          <xdr:cNvGrpSpPr>
            <a:grpSpLocks/>
          </xdr:cNvGrpSpPr>
        </xdr:nvGrpSpPr>
        <xdr:grpSpPr bwMode="auto">
          <a:xfrm>
            <a:off x="1876425" y="19926300"/>
            <a:ext cx="219075" cy="333375"/>
            <a:chOff x="480" y="145"/>
            <a:chExt cx="23" cy="29"/>
          </a:xfrm>
        </xdr:grpSpPr>
        <xdr:grpSp>
          <xdr:nvGrpSpPr>
            <xdr:cNvPr id="83" name="Group 96">
              <a:extLst>
                <a:ext uri="{FF2B5EF4-FFF2-40B4-BE49-F238E27FC236}">
                  <a16:creationId xmlns:a16="http://schemas.microsoft.com/office/drawing/2014/main" id="{00000000-0008-0000-0600-00005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80" y="145"/>
              <a:ext cx="23" cy="29"/>
              <a:chOff x="552" y="132"/>
              <a:chExt cx="23" cy="29"/>
            </a:xfrm>
          </xdr:grpSpPr>
          <xdr:sp macro="" textlink="">
            <xdr:nvSpPr>
              <xdr:cNvPr id="85" name="Oval 97">
                <a:extLst>
                  <a:ext uri="{FF2B5EF4-FFF2-40B4-BE49-F238E27FC236}">
                    <a16:creationId xmlns:a16="http://schemas.microsoft.com/office/drawing/2014/main" id="{00000000-0008-0000-0600-00005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32"/>
                <a:ext cx="23" cy="20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86" name="Oval 98">
                <a:extLst>
                  <a:ext uri="{FF2B5EF4-FFF2-40B4-BE49-F238E27FC236}">
                    <a16:creationId xmlns:a16="http://schemas.microsoft.com/office/drawing/2014/main" id="{00000000-0008-0000-0600-00005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41"/>
                <a:ext cx="23" cy="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84" name="Rectangle 99">
              <a:extLst>
                <a:ext uri="{FF2B5EF4-FFF2-40B4-BE49-F238E27FC236}">
                  <a16:creationId xmlns:a16="http://schemas.microsoft.com/office/drawing/2014/main" id="{00000000-0008-0000-0600-00005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166"/>
              <a:ext cx="6" cy="7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590550</xdr:colOff>
      <xdr:row>126</xdr:row>
      <xdr:rowOff>190500</xdr:rowOff>
    </xdr:from>
    <xdr:to>
      <xdr:col>6</xdr:col>
      <xdr:colOff>809625</xdr:colOff>
      <xdr:row>129</xdr:row>
      <xdr:rowOff>190500</xdr:rowOff>
    </xdr:to>
    <xdr:grpSp>
      <xdr:nvGrpSpPr>
        <xdr:cNvPr id="87" name="Grupo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GrpSpPr/>
      </xdr:nvGrpSpPr>
      <xdr:grpSpPr>
        <a:xfrm>
          <a:off x="3724275" y="20974050"/>
          <a:ext cx="219075" cy="600075"/>
          <a:chOff x="1876425" y="19783425"/>
          <a:chExt cx="219075" cy="600075"/>
        </a:xfrm>
      </xdr:grpSpPr>
      <xdr:sp macro="" textlink="">
        <xdr:nvSpPr>
          <xdr:cNvPr id="88" name="Line 19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1990725" y="19783425"/>
            <a:ext cx="0" cy="6000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diamond" w="med" len="med"/>
            <a:tailEnd type="diamond" w="med" len="med"/>
          </a:ln>
        </xdr:spPr>
      </xdr:sp>
      <xdr:grpSp>
        <xdr:nvGrpSpPr>
          <xdr:cNvPr id="89" name="Group 95">
            <a:extLst>
              <a:ext uri="{FF2B5EF4-FFF2-40B4-BE49-F238E27FC236}">
                <a16:creationId xmlns:a16="http://schemas.microsoft.com/office/drawing/2014/main" id="{00000000-0008-0000-0600-000059000000}"/>
              </a:ext>
            </a:extLst>
          </xdr:cNvPr>
          <xdr:cNvGrpSpPr>
            <a:grpSpLocks/>
          </xdr:cNvGrpSpPr>
        </xdr:nvGrpSpPr>
        <xdr:grpSpPr bwMode="auto">
          <a:xfrm>
            <a:off x="1876425" y="19926300"/>
            <a:ext cx="219075" cy="333375"/>
            <a:chOff x="480" y="145"/>
            <a:chExt cx="23" cy="29"/>
          </a:xfrm>
        </xdr:grpSpPr>
        <xdr:grpSp>
          <xdr:nvGrpSpPr>
            <xdr:cNvPr id="90" name="Group 96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80" y="145"/>
              <a:ext cx="23" cy="29"/>
              <a:chOff x="552" y="132"/>
              <a:chExt cx="23" cy="29"/>
            </a:xfrm>
          </xdr:grpSpPr>
          <xdr:sp macro="" textlink="">
            <xdr:nvSpPr>
              <xdr:cNvPr id="92" name="Oval 97">
                <a:extLst>
                  <a:ext uri="{FF2B5EF4-FFF2-40B4-BE49-F238E27FC236}">
                    <a16:creationId xmlns:a16="http://schemas.microsoft.com/office/drawing/2014/main" id="{00000000-0008-0000-0600-00005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32"/>
                <a:ext cx="23" cy="20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93" name="Oval 98">
                <a:extLst>
                  <a:ext uri="{FF2B5EF4-FFF2-40B4-BE49-F238E27FC236}">
                    <a16:creationId xmlns:a16="http://schemas.microsoft.com/office/drawing/2014/main" id="{00000000-0008-0000-0600-00005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41"/>
                <a:ext cx="23" cy="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91" name="Rectangle 99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166"/>
              <a:ext cx="6" cy="7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7</xdr:col>
      <xdr:colOff>676275</xdr:colOff>
      <xdr:row>123</xdr:row>
      <xdr:rowOff>190500</xdr:rowOff>
    </xdr:from>
    <xdr:to>
      <xdr:col>7</xdr:col>
      <xdr:colOff>895350</xdr:colOff>
      <xdr:row>126</xdr:row>
      <xdr:rowOff>190500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pSpPr/>
      </xdr:nvGrpSpPr>
      <xdr:grpSpPr>
        <a:xfrm>
          <a:off x="4695825" y="20373975"/>
          <a:ext cx="219075" cy="600075"/>
          <a:chOff x="1876425" y="19783425"/>
          <a:chExt cx="219075" cy="600075"/>
        </a:xfrm>
      </xdr:grpSpPr>
      <xdr:sp macro="" textlink="">
        <xdr:nvSpPr>
          <xdr:cNvPr id="95" name="Line 19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>
            <a:spLocks noChangeShapeType="1"/>
          </xdr:cNvSpPr>
        </xdr:nvSpPr>
        <xdr:spPr bwMode="auto">
          <a:xfrm>
            <a:off x="1990725" y="19783425"/>
            <a:ext cx="0" cy="6000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diamond" w="med" len="med"/>
            <a:tailEnd type="diamond" w="med" len="med"/>
          </a:ln>
        </xdr:spPr>
      </xdr:sp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GrpSpPr>
            <a:grpSpLocks/>
          </xdr:cNvGrpSpPr>
        </xdr:nvGrpSpPr>
        <xdr:grpSpPr bwMode="auto">
          <a:xfrm>
            <a:off x="1876425" y="19926300"/>
            <a:ext cx="219075" cy="333375"/>
            <a:chOff x="480" y="145"/>
            <a:chExt cx="23" cy="29"/>
          </a:xfrm>
        </xdr:grpSpPr>
        <xdr:grpSp>
          <xdr:nvGrpSpPr>
            <xdr:cNvPr id="97" name="Group 96">
              <a:extLst>
                <a:ext uri="{FF2B5EF4-FFF2-40B4-BE49-F238E27FC236}">
                  <a16:creationId xmlns:a16="http://schemas.microsoft.com/office/drawing/2014/main" id="{00000000-0008-0000-0600-000061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80" y="145"/>
              <a:ext cx="23" cy="29"/>
              <a:chOff x="552" y="132"/>
              <a:chExt cx="23" cy="29"/>
            </a:xfrm>
          </xdr:grpSpPr>
          <xdr:sp macro="" textlink="">
            <xdr:nvSpPr>
              <xdr:cNvPr id="99" name="Oval 97">
                <a:extLst>
                  <a:ext uri="{FF2B5EF4-FFF2-40B4-BE49-F238E27FC236}">
                    <a16:creationId xmlns:a16="http://schemas.microsoft.com/office/drawing/2014/main" id="{00000000-0008-0000-0600-00006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32"/>
                <a:ext cx="23" cy="20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0" name="Oval 98">
                <a:extLst>
                  <a:ext uri="{FF2B5EF4-FFF2-40B4-BE49-F238E27FC236}">
                    <a16:creationId xmlns:a16="http://schemas.microsoft.com/office/drawing/2014/main" id="{00000000-0008-0000-0600-000064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41"/>
                <a:ext cx="23" cy="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98" name="Rectangle 99">
              <a:extLst>
                <a:ext uri="{FF2B5EF4-FFF2-40B4-BE49-F238E27FC236}">
                  <a16:creationId xmlns:a16="http://schemas.microsoft.com/office/drawing/2014/main" id="{00000000-0008-0000-0600-00006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166"/>
              <a:ext cx="6" cy="7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10</xdr:col>
      <xdr:colOff>495300</xdr:colOff>
      <xdr:row>121</xdr:row>
      <xdr:rowOff>0</xdr:rowOff>
    </xdr:from>
    <xdr:to>
      <xdr:col>10</xdr:col>
      <xdr:colOff>714375</xdr:colOff>
      <xdr:row>126</xdr:row>
      <xdr:rowOff>200024</xdr:rowOff>
    </xdr:to>
    <xdr:grpSp>
      <xdr:nvGrpSpPr>
        <xdr:cNvPr id="108" name="Grupo 107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GrpSpPr/>
      </xdr:nvGrpSpPr>
      <xdr:grpSpPr>
        <a:xfrm>
          <a:off x="7305675" y="19783425"/>
          <a:ext cx="219075" cy="1200149"/>
          <a:chOff x="6915150" y="19783425"/>
          <a:chExt cx="219075" cy="1200149"/>
        </a:xfrm>
      </xdr:grpSpPr>
      <xdr:sp macro="" textlink="">
        <xdr:nvSpPr>
          <xdr:cNvPr id="102" name="Line 19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>
            <a:spLocks noChangeShapeType="1"/>
          </xdr:cNvSpPr>
        </xdr:nvSpPr>
        <xdr:spPr bwMode="auto">
          <a:xfrm>
            <a:off x="7029450" y="19783425"/>
            <a:ext cx="0" cy="120014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diamond" w="med" len="med"/>
            <a:tailEnd type="diamond" w="med" len="med"/>
          </a:ln>
        </xdr:spPr>
      </xdr:sp>
      <xdr:grpSp>
        <xdr:nvGrpSpPr>
          <xdr:cNvPr id="103" name="Group 95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GrpSpPr>
            <a:grpSpLocks/>
          </xdr:cNvGrpSpPr>
        </xdr:nvGrpSpPr>
        <xdr:grpSpPr bwMode="auto">
          <a:xfrm>
            <a:off x="6915150" y="20183475"/>
            <a:ext cx="219075" cy="333375"/>
            <a:chOff x="480" y="145"/>
            <a:chExt cx="23" cy="29"/>
          </a:xfrm>
        </xdr:grpSpPr>
        <xdr:grpSp>
          <xdr:nvGrpSpPr>
            <xdr:cNvPr id="104" name="Group 96">
              <a:extLst>
                <a:ext uri="{FF2B5EF4-FFF2-40B4-BE49-F238E27FC236}">
                  <a16:creationId xmlns:a16="http://schemas.microsoft.com/office/drawing/2014/main" id="{00000000-0008-0000-0600-000068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80" y="145"/>
              <a:ext cx="23" cy="29"/>
              <a:chOff x="552" y="132"/>
              <a:chExt cx="23" cy="29"/>
            </a:xfrm>
          </xdr:grpSpPr>
          <xdr:sp macro="" textlink="">
            <xdr:nvSpPr>
              <xdr:cNvPr id="106" name="Oval 97">
                <a:extLst>
                  <a:ext uri="{FF2B5EF4-FFF2-40B4-BE49-F238E27FC236}">
                    <a16:creationId xmlns:a16="http://schemas.microsoft.com/office/drawing/2014/main" id="{00000000-0008-0000-0600-00006A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32"/>
                <a:ext cx="23" cy="20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7" name="Oval 98">
                <a:extLst>
                  <a:ext uri="{FF2B5EF4-FFF2-40B4-BE49-F238E27FC236}">
                    <a16:creationId xmlns:a16="http://schemas.microsoft.com/office/drawing/2014/main" id="{00000000-0008-0000-0600-00006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52" y="141"/>
                <a:ext cx="23" cy="2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105" name="Rectangle 99">
              <a:extLst>
                <a:ext uri="{FF2B5EF4-FFF2-40B4-BE49-F238E27FC236}">
                  <a16:creationId xmlns:a16="http://schemas.microsoft.com/office/drawing/2014/main" id="{00000000-0008-0000-0600-00006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9" y="166"/>
              <a:ext cx="6" cy="7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8</xdr:col>
      <xdr:colOff>200025</xdr:colOff>
      <xdr:row>1</xdr:row>
      <xdr:rowOff>0</xdr:rowOff>
    </xdr:from>
    <xdr:to>
      <xdr:col>12</xdr:col>
      <xdr:colOff>523875</xdr:colOff>
      <xdr:row>4</xdr:row>
      <xdr:rowOff>19050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/>
      </xdr:nvSpPr>
      <xdr:spPr>
        <a:xfrm>
          <a:off x="5200650" y="161925"/>
          <a:ext cx="56388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952500</xdr:colOff>
          <xdr:row>77</xdr:row>
          <xdr:rowOff>95250</xdr:rowOff>
        </xdr:from>
        <xdr:to>
          <xdr:col>8</xdr:col>
          <xdr:colOff>600075</xdr:colOff>
          <xdr:row>79</xdr:row>
          <xdr:rowOff>57150</xdr:rowOff>
        </xdr:to>
        <xdr:sp macro="" textlink="">
          <xdr:nvSpPr>
            <xdr:cNvPr id="13313" name="custoMedioXML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66675</xdr:colOff>
      <xdr:row>0</xdr:row>
      <xdr:rowOff>123825</xdr:rowOff>
    </xdr:from>
    <xdr:to>
      <xdr:col>11</xdr:col>
      <xdr:colOff>371475</xdr:colOff>
      <xdr:row>4</xdr:row>
      <xdr:rowOff>95250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267575" y="123825"/>
          <a:ext cx="43053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6</xdr:row>
          <xdr:rowOff>19050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291" name="EstVer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8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9</xdr:row>
          <xdr:rowOff>133350</xdr:rowOff>
        </xdr:from>
        <xdr:to>
          <xdr:col>9</xdr:col>
          <xdr:colOff>76200</xdr:colOff>
          <xdr:row>11</xdr:row>
          <xdr:rowOff>123825</xdr:rowOff>
        </xdr:to>
        <xdr:sp macro="" textlink="">
          <xdr:nvSpPr>
            <xdr:cNvPr id="12294" name="ConTipo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8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7</xdr:row>
          <xdr:rowOff>152400</xdr:rowOff>
        </xdr:from>
        <xdr:to>
          <xdr:col>9</xdr:col>
          <xdr:colOff>9525</xdr:colOff>
          <xdr:row>9</xdr:row>
          <xdr:rowOff>133350</xdr:rowOff>
        </xdr:to>
        <xdr:sp macro="" textlink="">
          <xdr:nvSpPr>
            <xdr:cNvPr id="12295" name="PropFl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8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11</xdr:row>
          <xdr:rowOff>114300</xdr:rowOff>
        </xdr:from>
        <xdr:to>
          <xdr:col>9</xdr:col>
          <xdr:colOff>76200</xdr:colOff>
          <xdr:row>13</xdr:row>
          <xdr:rowOff>104775</xdr:rowOff>
        </xdr:to>
        <xdr:sp macro="" textlink="">
          <xdr:nvSpPr>
            <xdr:cNvPr id="12296" name="RedeTipo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8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13</xdr:row>
          <xdr:rowOff>85725</xdr:rowOff>
        </xdr:from>
        <xdr:to>
          <xdr:col>9</xdr:col>
          <xdr:colOff>76200</xdr:colOff>
          <xdr:row>16</xdr:row>
          <xdr:rowOff>47625</xdr:rowOff>
        </xdr:to>
        <xdr:sp macro="" textlink="">
          <xdr:nvSpPr>
            <xdr:cNvPr id="12297" name="CarrBeta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8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60613</xdr:colOff>
      <xdr:row>1</xdr:row>
      <xdr:rowOff>0</xdr:rowOff>
    </xdr:from>
    <xdr:to>
      <xdr:col>11</xdr:col>
      <xdr:colOff>313459</xdr:colOff>
      <xdr:row>4</xdr:row>
      <xdr:rowOff>11257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6788727" y="164523"/>
          <a:ext cx="4305300" cy="5048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82</xdr:row>
      <xdr:rowOff>0</xdr:rowOff>
    </xdr:from>
    <xdr:to>
      <xdr:col>13</xdr:col>
      <xdr:colOff>0</xdr:colOff>
      <xdr:row>100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21</xdr:col>
      <xdr:colOff>0</xdr:colOff>
      <xdr:row>100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100</xdr:row>
      <xdr:rowOff>0</xdr:rowOff>
    </xdr:from>
    <xdr:to>
      <xdr:col>21</xdr:col>
      <xdr:colOff>0</xdr:colOff>
      <xdr:row>118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avia Pederneiras" id="{7E199BE8-2760-422D-BAA1-2CC6B97CEEB6}" userId="S::flavialis@aneel.gov.br::0dedb135-661a-49c2-8949-2fe2ac48103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D1:M66" totalsRowShown="0" headerRowDxfId="13" dataDxfId="12">
  <autoFilter ref="D1:M66" xr:uid="{00000000-0009-0000-0100-000001000000}">
    <filterColumn colId="0">
      <filters>
        <filter val="CERON"/>
      </filters>
    </filterColumn>
  </autoFilter>
  <tableColumns count="10">
    <tableColumn id="1" xr3:uid="{00000000-0010-0000-0000-000001000000}" name="SIGLA" dataDxfId="11"/>
    <tableColumn id="2" xr3:uid="{00000000-0010-0000-0000-000002000000}" name="AGENTE" dataDxfId="10"/>
    <tableColumn id="3" xr3:uid="{00000000-0010-0000-0000-000003000000}" name="ESTADO" dataDxfId="9"/>
    <tableColumn id="4" xr3:uid="{00000000-0010-0000-0000-000004000000}" name="Cod_Empr_ANEEL" dataDxfId="8"/>
    <tableColumn id="5" xr3:uid="{00000000-0010-0000-0000-000005000000}" name="DATA ANIVERSÁRIO" dataDxfId="7"/>
    <tableColumn id="6" xr3:uid="{00000000-0010-0000-0000-000006000000}" name="IdDescReg" dataDxfId="6"/>
    <tableColumn id="7" xr3:uid="{00000000-0010-0000-0000-000007000000}" name="Início HP tradicional" dataDxfId="5"/>
    <tableColumn id="8" xr3:uid="{00000000-0010-0000-0000-000008000000}" name="Início HP Verão" dataDxfId="4"/>
    <tableColumn id="10" xr3:uid="{00000000-0010-0000-0000-00000A000000}" name="Duração do ciclo" dataDxfId="3"/>
    <tableColumn id="9" xr3:uid="{00000000-0010-0000-0000-000009000000}" name="Contrato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1:B97" totalsRowShown="0" headerRowDxfId="1">
  <autoFilter ref="B1:B97" xr:uid="{00000000-0009-0000-0100-000002000000}"/>
  <tableColumns count="1">
    <tableColumn id="1" xr3:uid="{00000000-0010-0000-0100-000001000000}" name="hor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53" dT="2021-10-14T14:20:49.61" personId="{7E199BE8-2760-422D-BAA1-2CC6B97CEEB6}" id="{739D5D39-C4F7-4839-92E8-5592452AB7D7}">
    <text>em caso de ter AS, somar a célula 'DADOS-Diversos'!C18 também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25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24.xml"/><Relationship Id="rId5" Type="http://schemas.openxmlformats.org/officeDocument/2006/relationships/image" Target="../media/image24.emf"/><Relationship Id="rId4" Type="http://schemas.openxmlformats.org/officeDocument/2006/relationships/control" Target="../activeX/activeX2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7.emf"/><Relationship Id="rId18" Type="http://schemas.openxmlformats.org/officeDocument/2006/relationships/control" Target="../activeX/activeX9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1.emf"/><Relationship Id="rId7" Type="http://schemas.openxmlformats.org/officeDocument/2006/relationships/image" Target="../media/image4.emf"/><Relationship Id="rId12" Type="http://schemas.openxmlformats.org/officeDocument/2006/relationships/control" Target="../activeX/activeX6.xml"/><Relationship Id="rId17" Type="http://schemas.openxmlformats.org/officeDocument/2006/relationships/image" Target="../media/image9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control" Target="../activeX/activeX5.xml"/><Relationship Id="rId19" Type="http://schemas.openxmlformats.org/officeDocument/2006/relationships/image" Target="../media/image10.emf"/><Relationship Id="rId4" Type="http://schemas.openxmlformats.org/officeDocument/2006/relationships/control" Target="../activeX/activeX2.xml"/><Relationship Id="rId9" Type="http://schemas.openxmlformats.org/officeDocument/2006/relationships/image" Target="../media/image5.emf"/><Relationship Id="rId14" Type="http://schemas.openxmlformats.org/officeDocument/2006/relationships/control" Target="../activeX/activeX7.xml"/><Relationship Id="rId2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5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5.xml"/><Relationship Id="rId4" Type="http://schemas.openxmlformats.org/officeDocument/2006/relationships/image" Target="../media/image26.emf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Relationship Id="rId6" Type="http://schemas.openxmlformats.org/officeDocument/2006/relationships/comments" Target="../comments2.xml"/><Relationship Id="rId5" Type="http://schemas.openxmlformats.org/officeDocument/2006/relationships/image" Target="../media/image27.emf"/><Relationship Id="rId4" Type="http://schemas.openxmlformats.org/officeDocument/2006/relationships/control" Target="../activeX/activeX2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2.xml"/><Relationship Id="rId5" Type="http://schemas.openxmlformats.org/officeDocument/2006/relationships/image" Target="../media/image12.emf"/><Relationship Id="rId4" Type="http://schemas.openxmlformats.org/officeDocument/2006/relationships/control" Target="../activeX/activeX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4.emf"/><Relationship Id="rId4" Type="http://schemas.openxmlformats.org/officeDocument/2006/relationships/control" Target="../activeX/activeX1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control" Target="../activeX/activeX14.xml"/><Relationship Id="rId7" Type="http://schemas.openxmlformats.org/officeDocument/2006/relationships/control" Target="../activeX/activeX1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16.emf"/><Relationship Id="rId5" Type="http://schemas.openxmlformats.org/officeDocument/2006/relationships/control" Target="../activeX/activeX15.xml"/><Relationship Id="rId4" Type="http://schemas.openxmlformats.org/officeDocument/2006/relationships/image" Target="../media/image1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image" Target="../media/image18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control" Target="../activeX/activeX18.xml"/><Relationship Id="rId7" Type="http://schemas.openxmlformats.org/officeDocument/2006/relationships/control" Target="../activeX/activeX20.xml"/><Relationship Id="rId12" Type="http://schemas.openxmlformats.org/officeDocument/2006/relationships/image" Target="../media/image23.emf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6" Type="http://schemas.openxmlformats.org/officeDocument/2006/relationships/image" Target="../media/image20.emf"/><Relationship Id="rId11" Type="http://schemas.openxmlformats.org/officeDocument/2006/relationships/control" Target="../activeX/activeX22.xml"/><Relationship Id="rId5" Type="http://schemas.openxmlformats.org/officeDocument/2006/relationships/control" Target="../activeX/activeX19.xml"/><Relationship Id="rId10" Type="http://schemas.openxmlformats.org/officeDocument/2006/relationships/image" Target="../media/image22.emf"/><Relationship Id="rId4" Type="http://schemas.openxmlformats.org/officeDocument/2006/relationships/image" Target="../media/image19.emf"/><Relationship Id="rId9" Type="http://schemas.openxmlformats.org/officeDocument/2006/relationships/control" Target="../activeX/activeX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tabColor theme="4" tint="-0.249977111117893"/>
  </sheetPr>
  <dimension ref="A1:O69"/>
  <sheetViews>
    <sheetView showGridLines="0" topLeftCell="A28" zoomScaleNormal="100" workbookViewId="0">
      <selection activeCell="J13" sqref="J13"/>
    </sheetView>
  </sheetViews>
  <sheetFormatPr defaultRowHeight="15" x14ac:dyDescent="0.25"/>
  <cols>
    <col min="1" max="1" width="1.85546875" customWidth="1"/>
    <col min="2" max="2" width="26.28515625" customWidth="1"/>
    <col min="3" max="3" width="12.5703125" customWidth="1"/>
    <col min="4" max="4" width="17.85546875" bestFit="1" customWidth="1"/>
    <col min="5" max="5" width="9.140625" bestFit="1" customWidth="1"/>
    <col min="6" max="6" width="12.85546875" bestFit="1" customWidth="1"/>
    <col min="7" max="7" width="11.85546875" customWidth="1"/>
    <col min="8" max="8" width="13.85546875" customWidth="1"/>
    <col min="9" max="9" width="16.28515625" customWidth="1"/>
    <col min="10" max="10" width="17.5703125" customWidth="1"/>
    <col min="11" max="11" width="23.28515625" customWidth="1"/>
    <col min="12" max="12" width="17" customWidth="1"/>
    <col min="13" max="13" width="1.5703125" customWidth="1"/>
    <col min="14" max="14" width="27" bestFit="1" customWidth="1"/>
    <col min="15" max="15" width="1" customWidth="1"/>
  </cols>
  <sheetData>
    <row r="1" spans="2:15" ht="13.5" customHeight="1" x14ac:dyDescent="0.25">
      <c r="C1" s="10" t="str">
        <f ca="1">MID(CELL("nome.arquivo"),SEARCH("[",CELL("nome.arquivo"))+1,SEARCH("]",CELL("nome.arquivo"))-SEARCH("[",CELL("nome.arquivo"))-1)</f>
        <v>TR_v2.9a-DEMEI POS AP 2022.xlsx</v>
      </c>
      <c r="J1" s="327" t="s">
        <v>3209</v>
      </c>
      <c r="N1" s="354" t="s">
        <v>3230</v>
      </c>
    </row>
    <row r="2" spans="2:15" ht="3.75" customHeight="1" x14ac:dyDescent="0.25">
      <c r="N2" s="193"/>
    </row>
    <row r="3" spans="2:15" s="2" customFormat="1" ht="12.75" x14ac:dyDescent="0.2">
      <c r="B3" s="322" t="s">
        <v>328</v>
      </c>
      <c r="C3" s="722"/>
      <c r="D3" s="722"/>
      <c r="E3" s="722"/>
      <c r="F3" s="722"/>
      <c r="G3" s="722"/>
      <c r="H3" s="322" t="s">
        <v>329</v>
      </c>
      <c r="I3" s="322" t="s">
        <v>63</v>
      </c>
      <c r="J3" s="322" t="s">
        <v>3210</v>
      </c>
      <c r="K3" s="322" t="s">
        <v>3494</v>
      </c>
      <c r="M3" s="346"/>
      <c r="N3" s="355" t="s">
        <v>3227</v>
      </c>
      <c r="O3" s="347"/>
    </row>
    <row r="4" spans="2:15" s="2" customFormat="1" ht="12.75" x14ac:dyDescent="0.2">
      <c r="B4" s="329" t="s">
        <v>273</v>
      </c>
      <c r="C4" s="723" t="str">
        <f>IF(ISNA(VLOOKUP(B4,Tabela1[],2,0)),"",VLOOKUP(B4,Tabela1[],2,0))</f>
        <v>Departamento Municipal de Energia de Ijuí</v>
      </c>
      <c r="D4" s="723"/>
      <c r="E4" s="723"/>
      <c r="F4" s="723"/>
      <c r="G4" s="723"/>
      <c r="H4" s="55">
        <f>IF(ISNA(VLOOKUP(B4,Tabela1[],4,0)),"",VLOOKUP(B4,Tabela1[],4,0))</f>
        <v>95</v>
      </c>
      <c r="I4" s="218">
        <v>44764</v>
      </c>
      <c r="J4" s="55">
        <f>IF(ISNA(VLOOKUP(B4,Tabela1[],9,0)),"",VLOOKUP(B4,Tabela1[],9,0))</f>
        <v>5</v>
      </c>
      <c r="K4" s="55" t="str">
        <f>IF(ISNA(VLOOKUP(B4,Tabela1[],10,0)),"",VLOOKUP(B4,Tabela1[],10,0))</f>
        <v>85/2000</v>
      </c>
      <c r="M4" s="348"/>
      <c r="N4" s="262" t="s">
        <v>3222</v>
      </c>
      <c r="O4" s="349"/>
    </row>
    <row r="5" spans="2:15" s="2" customFormat="1" x14ac:dyDescent="0.25">
      <c r="B5"/>
      <c r="C5" s="298"/>
      <c r="D5" s="298"/>
      <c r="E5" s="298"/>
      <c r="F5" s="298"/>
      <c r="G5" s="298"/>
      <c r="H5" s="298"/>
      <c r="I5" s="322" t="s">
        <v>728</v>
      </c>
      <c r="J5" s="322" t="s">
        <v>3493</v>
      </c>
      <c r="M5" s="348"/>
      <c r="N5" s="356" t="s">
        <v>3223</v>
      </c>
      <c r="O5" s="349"/>
    </row>
    <row r="6" spans="2:15" x14ac:dyDescent="0.25">
      <c r="B6" s="1" t="s">
        <v>3205</v>
      </c>
      <c r="I6" s="328"/>
      <c r="J6" s="328">
        <f>IF(ISERR(YEAR(I4)),0,YEAR(I4))</f>
        <v>2022</v>
      </c>
      <c r="M6" s="350"/>
      <c r="N6" s="357" t="s">
        <v>3224</v>
      </c>
      <c r="O6" s="351"/>
    </row>
    <row r="7" spans="2:15" ht="2.25" customHeight="1" x14ac:dyDescent="0.25">
      <c r="M7" s="350"/>
      <c r="N7" s="193"/>
      <c r="O7" s="351"/>
    </row>
    <row r="8" spans="2:15" ht="13.5" customHeight="1" x14ac:dyDescent="0.25">
      <c r="B8" s="320"/>
      <c r="C8" s="320" t="s">
        <v>62</v>
      </c>
      <c r="D8" s="320" t="s">
        <v>63</v>
      </c>
      <c r="I8" s="322" t="s">
        <v>3207</v>
      </c>
      <c r="J8" s="322" t="s">
        <v>3208</v>
      </c>
      <c r="M8" s="350"/>
      <c r="N8" s="193"/>
      <c r="O8" s="351"/>
    </row>
    <row r="9" spans="2:15" x14ac:dyDescent="0.25">
      <c r="B9" s="323" t="s">
        <v>3206</v>
      </c>
      <c r="C9" s="324"/>
      <c r="D9" s="325"/>
      <c r="I9" s="317">
        <f>'DADOS-Campanha'!J23</f>
        <v>0.75</v>
      </c>
      <c r="J9" s="317">
        <f>'DADOS-Campanha'!J25</f>
        <v>0</v>
      </c>
      <c r="M9" s="350"/>
      <c r="N9" s="354" t="s">
        <v>3483</v>
      </c>
      <c r="O9" s="351"/>
    </row>
    <row r="10" spans="2:15" x14ac:dyDescent="0.25">
      <c r="B10" s="323" t="s">
        <v>3234</v>
      </c>
      <c r="C10" s="363">
        <f>'DADOS-Diversos'!G4</f>
        <v>22</v>
      </c>
      <c r="D10" s="275"/>
      <c r="I10" s="362"/>
      <c r="J10" s="362"/>
      <c r="M10" s="350"/>
      <c r="N10" s="358" t="s">
        <v>3221</v>
      </c>
      <c r="O10" s="351"/>
    </row>
    <row r="11" spans="2:15" x14ac:dyDescent="0.25">
      <c r="B11" s="320" t="s">
        <v>735</v>
      </c>
      <c r="C11" s="273">
        <f>'DADOS-Campanha'!$H$2</f>
        <v>11</v>
      </c>
      <c r="D11" s="275">
        <f>'DADOS-Campanha'!$H$3</f>
        <v>44714</v>
      </c>
      <c r="M11" s="350"/>
      <c r="N11" s="359" t="s">
        <v>3228</v>
      </c>
      <c r="O11" s="351"/>
    </row>
    <row r="12" spans="2:15" ht="18.75" x14ac:dyDescent="0.3">
      <c r="B12" s="320" t="s">
        <v>733</v>
      </c>
      <c r="C12" s="273">
        <f>'DADOS-Mercado'!$G$2</f>
        <v>1</v>
      </c>
      <c r="D12" s="275">
        <f>'DADOS-Mercado'!$G$3</f>
        <v>44216</v>
      </c>
      <c r="F12" s="1" t="s">
        <v>3204</v>
      </c>
      <c r="K12" s="326"/>
      <c r="M12" s="350"/>
      <c r="N12" s="360" t="s">
        <v>3229</v>
      </c>
      <c r="O12" s="351"/>
    </row>
    <row r="13" spans="2:15" x14ac:dyDescent="0.25">
      <c r="B13" s="724" t="s">
        <v>732</v>
      </c>
      <c r="C13" s="273">
        <f>'DADOS-Ativos e Custos'!$G$2</f>
        <v>1</v>
      </c>
      <c r="D13" s="275">
        <f>'DADOS-Ativos e Custos'!$G$3</f>
        <v>44537</v>
      </c>
      <c r="F13" s="320" t="s">
        <v>332</v>
      </c>
      <c r="G13" s="319" t="s">
        <v>730</v>
      </c>
      <c r="H13" s="319" t="s">
        <v>726</v>
      </c>
      <c r="M13" s="350"/>
      <c r="O13" s="351"/>
    </row>
    <row r="14" spans="2:15" x14ac:dyDescent="0.25">
      <c r="B14" s="725"/>
      <c r="C14" s="273">
        <f>'DADOS-Ativos e Custos'!$H$2</f>
        <v>1</v>
      </c>
      <c r="D14" s="275">
        <f>'DADOS-Ativos e Custos'!$H$3</f>
        <v>44537</v>
      </c>
      <c r="F14" s="141" t="s">
        <v>633</v>
      </c>
      <c r="G14" s="274">
        <f>'DADOS-Diversos'!$I$8</f>
        <v>0.59</v>
      </c>
      <c r="H14" s="332">
        <f>'Tarifa Branca'!$C$7</f>
        <v>0.54</v>
      </c>
      <c r="M14" s="352"/>
      <c r="N14" s="361"/>
      <c r="O14" s="353"/>
    </row>
    <row r="15" spans="2:15" x14ac:dyDescent="0.25">
      <c r="B15" s="320" t="s">
        <v>734</v>
      </c>
      <c r="C15" s="273">
        <f>'DADOS-Diversos'!$G$2</f>
        <v>2</v>
      </c>
      <c r="D15" s="275">
        <f>'DADOS-Diversos'!$G$3</f>
        <v>44714</v>
      </c>
      <c r="F15" s="141" t="s">
        <v>635</v>
      </c>
      <c r="G15" s="274">
        <f>'DADOS-Diversos'!$I$9</f>
        <v>0</v>
      </c>
      <c r="H15" s="332">
        <f>'Tarifa Branca'!$C$8</f>
        <v>0.55000000000000004</v>
      </c>
    </row>
    <row r="16" spans="2:15" x14ac:dyDescent="0.25">
      <c r="B16" s="321" t="s">
        <v>736</v>
      </c>
      <c r="C16" s="273">
        <f>'DADOS - RELATORIOS CTR'!$G$2</f>
        <v>2</v>
      </c>
      <c r="D16" s="275">
        <f>'DADOS - RELATORIOS CTR'!$G$3</f>
        <v>44714</v>
      </c>
      <c r="F16" s="141" t="s">
        <v>637</v>
      </c>
      <c r="G16" s="274">
        <f>'DADOS-Diversos'!$I$10</f>
        <v>0.65</v>
      </c>
      <c r="H16" s="332">
        <f>'Tarifa Branca'!$C$9</f>
        <v>0.69</v>
      </c>
    </row>
    <row r="17" spans="2:8" ht="3" customHeight="1" x14ac:dyDescent="0.25"/>
    <row r="18" spans="2:8" x14ac:dyDescent="0.25">
      <c r="B18" s="1" t="s">
        <v>330</v>
      </c>
    </row>
    <row r="19" spans="2:8" ht="3" customHeight="1" x14ac:dyDescent="0.25">
      <c r="B19" s="1"/>
    </row>
    <row r="20" spans="2:8" x14ac:dyDescent="0.25">
      <c r="B20" s="1" t="s">
        <v>428</v>
      </c>
      <c r="F20" s="1" t="s">
        <v>3211</v>
      </c>
    </row>
    <row r="21" spans="2:8" x14ac:dyDescent="0.25">
      <c r="B21" s="720"/>
      <c r="C21" s="319" t="s">
        <v>3213</v>
      </c>
      <c r="D21" s="319" t="s">
        <v>631</v>
      </c>
      <c r="F21" s="320" t="s">
        <v>3212</v>
      </c>
      <c r="G21" s="319" t="s">
        <v>632</v>
      </c>
      <c r="H21" s="319" t="s">
        <v>631</v>
      </c>
    </row>
    <row r="22" spans="2:8" x14ac:dyDescent="0.25">
      <c r="B22" s="721"/>
      <c r="C22" s="319" t="s">
        <v>502</v>
      </c>
      <c r="D22" s="319" t="s">
        <v>502</v>
      </c>
      <c r="F22" s="318" t="s">
        <v>7</v>
      </c>
      <c r="G22" s="330" t="str">
        <f>IF('DADOS-Diversos'!D15&lt;&gt;0,'DADOS-Diversos'!D15,"")</f>
        <v/>
      </c>
      <c r="H22" s="331" t="str">
        <f>IFERROR('FIO B'!G44/'FIO B'!H44,"")</f>
        <v/>
      </c>
    </row>
    <row r="23" spans="2:8" x14ac:dyDescent="0.25">
      <c r="B23" s="141" t="s">
        <v>7</v>
      </c>
      <c r="C23" s="60">
        <f>Custo_Medio!E79</f>
        <v>0</v>
      </c>
      <c r="D23" s="81">
        <f>CM_AT2</f>
        <v>0</v>
      </c>
      <c r="F23" s="318" t="s">
        <v>8</v>
      </c>
      <c r="G23" s="330" t="str">
        <f>IF('DADOS-Diversos'!D16&lt;&gt;0,'DADOS-Diversos'!D16,"")</f>
        <v/>
      </c>
      <c r="H23" s="331" t="str">
        <f>IFERROR('FIO B'!G45/'FIO B'!H45,"")</f>
        <v/>
      </c>
    </row>
    <row r="24" spans="2:8" x14ac:dyDescent="0.25">
      <c r="B24" s="142" t="s">
        <v>8</v>
      </c>
      <c r="C24" s="60">
        <f>Custo_Medio!E80</f>
        <v>1.63</v>
      </c>
      <c r="D24" s="81">
        <f>CM_AT3</f>
        <v>9.27</v>
      </c>
      <c r="F24" s="318" t="s">
        <v>6</v>
      </c>
      <c r="G24" s="330">
        <f>IF('DADOS-Diversos'!D17&lt;&gt;0,'DADOS-Diversos'!D17,"")</f>
        <v>1.9582919563058587</v>
      </c>
      <c r="H24" s="331">
        <f>IFERROR('FIO B'!G46/'FIO B'!H46,"")</f>
        <v>2.1990315093576176</v>
      </c>
    </row>
    <row r="25" spans="2:8" x14ac:dyDescent="0.25">
      <c r="B25" s="12" t="s">
        <v>6</v>
      </c>
      <c r="C25" s="60">
        <f>Custo_Medio!E81</f>
        <v>79.39</v>
      </c>
      <c r="D25" s="81">
        <f>CM_MT</f>
        <v>173.25</v>
      </c>
      <c r="F25" s="318" t="s">
        <v>19</v>
      </c>
      <c r="G25" s="330" t="str">
        <f>IF('DADOS-Diversos'!D18&lt;&gt;0,'DADOS-Diversos'!D18,"")</f>
        <v/>
      </c>
      <c r="H25" s="331" t="str">
        <f>IFERROR('FIO B'!G47/'FIO B'!H47,"")</f>
        <v/>
      </c>
    </row>
    <row r="26" spans="2:8" x14ac:dyDescent="0.25">
      <c r="B26" s="12" t="s">
        <v>20</v>
      </c>
      <c r="C26" s="60">
        <f>Custo_Medio!E82</f>
        <v>181.37</v>
      </c>
      <c r="D26" s="81">
        <f>CM_BT</f>
        <v>225.11</v>
      </c>
      <c r="F26" s="318" t="s">
        <v>20</v>
      </c>
      <c r="G26" s="330" t="str">
        <f>IF('DADOS-Diversos'!D19&lt;&gt;0,'DADOS-Diversos'!D19,"")</f>
        <v/>
      </c>
      <c r="H26" s="331">
        <f>IFERROR('FIO B'!G48/'FIO B'!H48,"")</f>
        <v>3.0978005780064231</v>
      </c>
    </row>
    <row r="27" spans="2:8" ht="2.25" customHeight="1" x14ac:dyDescent="0.25"/>
    <row r="28" spans="2:8" x14ac:dyDescent="0.25">
      <c r="B28" s="1" t="s">
        <v>590</v>
      </c>
    </row>
    <row r="29" spans="2:8" x14ac:dyDescent="0.25">
      <c r="B29" s="719"/>
      <c r="C29" s="319" t="s">
        <v>632</v>
      </c>
      <c r="D29" s="319" t="s">
        <v>631</v>
      </c>
    </row>
    <row r="30" spans="2:8" x14ac:dyDescent="0.25">
      <c r="B30" s="719"/>
      <c r="C30" s="319" t="s">
        <v>3203</v>
      </c>
      <c r="D30" s="319" t="s">
        <v>3203</v>
      </c>
    </row>
    <row r="31" spans="2:8" x14ac:dyDescent="0.25">
      <c r="B31" s="318" t="s">
        <v>7</v>
      </c>
      <c r="C31" s="281" t="str">
        <f>IF('DADOS-Diversos'!C15&lt;&gt;0,'DADOS-Diversos'!C15,"")</f>
        <v/>
      </c>
      <c r="D31" s="57" t="str">
        <f>IF('FIO B'!K17&lt;&gt;0,'FIO B'!K17,"")</f>
        <v/>
      </c>
    </row>
    <row r="32" spans="2:8" x14ac:dyDescent="0.25">
      <c r="B32" s="318" t="s">
        <v>8</v>
      </c>
      <c r="C32" s="281" t="str">
        <f>IF('DADOS-Diversos'!C16&lt;&gt;0,'DADOS-Diversos'!C16,"")</f>
        <v/>
      </c>
      <c r="D32" s="57" t="str">
        <f>IF('FIO B'!K18&lt;&gt;0,'FIO B'!K18,"")</f>
        <v/>
      </c>
    </row>
    <row r="33" spans="1:12" x14ac:dyDescent="0.25">
      <c r="B33" s="318" t="s">
        <v>6</v>
      </c>
      <c r="C33" s="281">
        <f>IF('DADOS-Diversos'!C17&lt;&gt;0,'DADOS-Diversos'!C17,"")</f>
        <v>7.4348741895556417E-2</v>
      </c>
      <c r="D33" s="57">
        <f>IF('FIO B'!K19&lt;&gt;0,'FIO B'!K19,"")</f>
        <v>0.169880070649267</v>
      </c>
    </row>
    <row r="34" spans="1:12" x14ac:dyDescent="0.25">
      <c r="B34" s="318" t="s">
        <v>19</v>
      </c>
      <c r="C34" s="281" t="str">
        <f>IF('DADOS-Diversos'!C18&lt;&gt;0,'DADOS-Diversos'!C18,"")</f>
        <v/>
      </c>
      <c r="D34" s="57" t="str">
        <f>IF('FIO B'!M20&lt;&gt;0,'FIO B'!K20*'FIO B'!M20,"")</f>
        <v/>
      </c>
    </row>
    <row r="35" spans="1:12" x14ac:dyDescent="0.25">
      <c r="B35" s="318" t="s">
        <v>20</v>
      </c>
      <c r="C35" s="281">
        <f>IF('DADOS-Diversos'!C19&lt;&gt;0,'DADOS-Diversos'!C19,"")</f>
        <v>0.9256512581044436</v>
      </c>
      <c r="D35" s="57">
        <f>'FIO B'!K20*'FIO B'!M21</f>
        <v>0.8301199293507332</v>
      </c>
    </row>
    <row r="36" spans="1:12" x14ac:dyDescent="0.25">
      <c r="B36" s="2"/>
    </row>
    <row r="41" spans="1:12" s="2" customFormat="1" ht="12.75" x14ac:dyDescent="0.2"/>
    <row r="42" spans="1:12" s="2" customFormat="1" ht="13.5" thickBot="1" x14ac:dyDescent="0.25">
      <c r="A42" s="523"/>
      <c r="B42" s="523"/>
      <c r="C42" s="523"/>
      <c r="D42" s="523"/>
      <c r="E42" s="523"/>
      <c r="F42" s="523"/>
      <c r="G42" s="523"/>
      <c r="H42" s="523"/>
      <c r="I42" s="523"/>
      <c r="J42" s="523"/>
      <c r="K42" s="523"/>
      <c r="L42" s="523"/>
    </row>
    <row r="43" spans="1:12" s="2" customFormat="1" ht="12.75" x14ac:dyDescent="0.2">
      <c r="A43" s="523"/>
      <c r="B43" s="597" t="s">
        <v>3400</v>
      </c>
      <c r="C43" s="598"/>
      <c r="D43" s="598"/>
      <c r="E43" s="598"/>
      <c r="F43" s="599"/>
      <c r="G43" s="523"/>
      <c r="H43" s="597" t="s">
        <v>3403</v>
      </c>
      <c r="I43" s="598"/>
      <c r="J43" s="598"/>
      <c r="K43" s="598"/>
      <c r="L43" s="599"/>
    </row>
    <row r="44" spans="1:12" s="2" customFormat="1" ht="12.75" x14ac:dyDescent="0.2">
      <c r="A44" s="523"/>
      <c r="B44" s="600"/>
      <c r="C44" s="411"/>
      <c r="D44" s="411"/>
      <c r="E44" s="411"/>
      <c r="F44" s="601"/>
      <c r="G44" s="523"/>
      <c r="H44" s="600"/>
      <c r="I44" s="411"/>
      <c r="J44" s="411"/>
      <c r="K44" s="411"/>
      <c r="L44" s="601"/>
    </row>
    <row r="45" spans="1:12" s="2" customFormat="1" ht="12.75" x14ac:dyDescent="0.2">
      <c r="A45" s="523"/>
      <c r="B45" s="602" t="s">
        <v>3401</v>
      </c>
      <c r="C45" s="411"/>
      <c r="D45" s="603" t="s">
        <v>3411</v>
      </c>
      <c r="E45" s="411"/>
      <c r="F45" s="601"/>
      <c r="G45" s="523"/>
      <c r="H45" s="602" t="s">
        <v>3404</v>
      </c>
      <c r="I45" s="411"/>
      <c r="J45" s="411"/>
      <c r="K45" s="411"/>
      <c r="L45" s="601"/>
    </row>
    <row r="46" spans="1:12" s="2" customFormat="1" ht="12.75" x14ac:dyDescent="0.2">
      <c r="A46" s="523"/>
      <c r="B46" s="531" t="str">
        <f>IFERROR(IF(Diagrama!M136="desquilibrado","Atenção", IF(Diagrama!M137="desequilibrado","Atenção",IF(Diagrama!M138="desequilibrado","Atenção",IF(Diagrama!M139="desequilibrado","Atenção","Ok")))),"")</f>
        <v>Ok</v>
      </c>
      <c r="C46" s="411" t="str">
        <f>IF(B46="Atenção","Checkar aba Diagrama","")</f>
        <v/>
      </c>
      <c r="D46" s="411" t="str">
        <f>IF((Aux_Fatores!C15)="","",IF(AND(Aux_Fatores!C15&lt;1,Aux_Fatores!C15&gt;0.45),"","Atenção"))</f>
        <v/>
      </c>
      <c r="E46" s="717" t="str">
        <f>IF(ISBLANK(D46),"",IF(D46="Atenção","Olhar aba Aux_Fatores",""))</f>
        <v/>
      </c>
      <c r="F46" s="718"/>
      <c r="G46" s="523"/>
      <c r="H46" s="600" t="s">
        <v>585</v>
      </c>
      <c r="I46" s="411" t="s">
        <v>514</v>
      </c>
      <c r="J46" s="411" t="s">
        <v>582</v>
      </c>
      <c r="K46" s="411" t="s">
        <v>564</v>
      </c>
      <c r="L46" s="601" t="s">
        <v>572</v>
      </c>
    </row>
    <row r="47" spans="1:12" s="2" customFormat="1" ht="12.75" x14ac:dyDescent="0.2">
      <c r="A47" s="523"/>
      <c r="B47" s="602" t="s">
        <v>720</v>
      </c>
      <c r="C47" s="411"/>
      <c r="D47" s="411" t="str">
        <f>IF((Aux_Fatores!C16)="","",IF(AND(Aux_Fatores!C16&lt;1,Aux_Fatores!C16&gt;0.45),"","Atenção"))</f>
        <v/>
      </c>
      <c r="E47" s="717" t="str">
        <f>IF(ISBLANK(D47),"",IF(D47="Atenção","Olhar aba Aux_Fatores",""))</f>
        <v/>
      </c>
      <c r="F47" s="718"/>
      <c r="G47" s="523"/>
      <c r="H47" s="600" t="str">
        <f>IF(SUM('FIO A'!J9:K12)&gt;0,'FIO A'!C71,"")</f>
        <v>OK</v>
      </c>
      <c r="I47" s="411" t="str">
        <f>IF(SUM('FIO A'!J21:K24)&gt;0,'FIO A'!D71,"")</f>
        <v>OK</v>
      </c>
      <c r="J47" s="411" t="str">
        <f>IF(SUM('FIO A'!J57:K60)&gt;0,'FIO A'!E71,"")</f>
        <v/>
      </c>
      <c r="K47" s="411" t="str">
        <f>IF(SUM('FIO A'!J33:K36)&gt;0,'FIO A'!F71,"")</f>
        <v>OK</v>
      </c>
      <c r="L47" s="601" t="str">
        <f>IF(SUM('FIO A'!J45:K48)&gt;0,'FIO A'!G71,"")</f>
        <v/>
      </c>
    </row>
    <row r="48" spans="1:12" s="2" customFormat="1" ht="12.75" x14ac:dyDescent="0.2">
      <c r="A48" s="523"/>
      <c r="B48" s="531" t="str">
        <f>IF(ISERR(SUM(Custo_Medio!C79:C82)),"Atenção","")</f>
        <v/>
      </c>
      <c r="C48" s="411" t="str">
        <f>IF(B48="Atenção","Checkar aba Custo_Medio","")</f>
        <v/>
      </c>
      <c r="D48" s="411" t="str">
        <f>IF((Aux_Fatores!C17)="","",IF(AND(Aux_Fatores!C17&lt;1,Aux_Fatores!C17&gt;0.45),"","Atenção"))</f>
        <v>Atenção</v>
      </c>
      <c r="E48" s="717" t="str">
        <f>IF(ISBLANK(D48),"",IF(D48="Atenção","Olhar aba Aux_Fatores",""))</f>
        <v>Olhar aba Aux_Fatores</v>
      </c>
      <c r="F48" s="718"/>
      <c r="G48" s="523"/>
      <c r="H48" s="602" t="s">
        <v>156</v>
      </c>
      <c r="I48" s="411" t="s">
        <v>157</v>
      </c>
      <c r="J48" s="411" t="s">
        <v>6</v>
      </c>
      <c r="K48" s="411" t="s">
        <v>20</v>
      </c>
      <c r="L48" s="601" t="s">
        <v>3405</v>
      </c>
    </row>
    <row r="49" spans="1:12" s="2" customFormat="1" ht="12.75" x14ac:dyDescent="0.2">
      <c r="A49" s="523"/>
      <c r="B49" s="602" t="s">
        <v>3402</v>
      </c>
      <c r="C49" s="411"/>
      <c r="D49" s="411" t="str">
        <f>IF((Aux_Fatores!C21)="","",IF(AND(Aux_Fatores!C21&lt;1,Aux_Fatores!C21&gt;0.05),"","Atenção"))</f>
        <v/>
      </c>
      <c r="E49" s="717" t="str">
        <f>IF(ISBLANK(D49),"",IF(D49="Atenção","Olhar aba Aux_Fatores",""))</f>
        <v/>
      </c>
      <c r="F49" s="718"/>
      <c r="G49" s="523"/>
      <c r="H49" s="531" t="str">
        <f>IFERROR(IF((TR_FIOA_A2_P&gt;0),(IF('FIO A'!H75&lt;0.95,"Atenção","")),""),"")</f>
        <v/>
      </c>
      <c r="I49" s="533" t="str">
        <f>IFERROR(IF((TR_FIOA_A3_P&gt;0),(IF('FIO A'!H76&lt;0.95,"Atenção","")),""),"")</f>
        <v/>
      </c>
      <c r="J49" s="533" t="str">
        <f>IFERROR(IF((TR_FIOA_MT_P&gt;0),(IF('FIO A'!H77&lt;0.95,"Atenção","")),""),"")</f>
        <v/>
      </c>
      <c r="K49" s="533" t="str">
        <f>IFERROR(IF((TR_FIOA_BT_P&gt;0),(IF('FIO A'!H78&lt;0.95,"Atenção","")),""),"")</f>
        <v/>
      </c>
      <c r="L49" s="534"/>
    </row>
    <row r="50" spans="1:12" s="2" customFormat="1" ht="13.5" thickBot="1" x14ac:dyDescent="0.25">
      <c r="A50" s="523"/>
      <c r="B50" s="532" t="str">
        <f>IF(ISBLANK(B4),"",IF(SUM('DADOS-Diversos'!G34:J37)=0,"Atenção",""))</f>
        <v/>
      </c>
      <c r="C50" s="604" t="str">
        <f>IF(B50="Atenção","Falta preencher fpp na aba DADOS-Diversos","")</f>
        <v/>
      </c>
      <c r="D50" s="604"/>
      <c r="E50" s="604"/>
      <c r="F50" s="605"/>
      <c r="G50" s="523"/>
      <c r="H50" s="606" t="str">
        <f>IF(H49="Atenção","Relação Ponta Fora Ponta menor que 0,95","")</f>
        <v/>
      </c>
      <c r="I50" s="604" t="str">
        <f>IF(I49="Atenção","Relação Ponta Fora Ponta menor que 0,95","")</f>
        <v/>
      </c>
      <c r="J50" s="604" t="str">
        <f>IF(J49="Atenção","Relação Ponta Fora Ponta menor que 0,95","")</f>
        <v/>
      </c>
      <c r="K50" s="604" t="str">
        <f>IF(K49="Atenção","Relação Ponta Fora Ponta menor que 0,95","")</f>
        <v/>
      </c>
      <c r="L50" s="605"/>
    </row>
    <row r="51" spans="1:12" s="2" customFormat="1" ht="13.5" thickBot="1" x14ac:dyDescent="0.25">
      <c r="A51" s="523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3"/>
    </row>
    <row r="52" spans="1:12" s="2" customFormat="1" ht="12.75" x14ac:dyDescent="0.2">
      <c r="A52" s="523"/>
      <c r="B52" s="597" t="s">
        <v>3406</v>
      </c>
      <c r="C52" s="598"/>
      <c r="D52" s="598"/>
      <c r="E52" s="598"/>
      <c r="F52" s="599"/>
      <c r="G52" s="523"/>
      <c r="H52" s="597" t="s">
        <v>3479</v>
      </c>
      <c r="I52" s="607"/>
      <c r="J52" s="607"/>
      <c r="K52" s="607"/>
      <c r="L52" s="599"/>
    </row>
    <row r="53" spans="1:12" s="2" customFormat="1" ht="12.75" x14ac:dyDescent="0.2">
      <c r="A53" s="523"/>
      <c r="B53" s="600"/>
      <c r="C53" s="411"/>
      <c r="D53" s="411"/>
      <c r="E53" s="411"/>
      <c r="F53" s="601"/>
      <c r="G53" s="523"/>
      <c r="H53" s="602" t="s">
        <v>156</v>
      </c>
      <c r="I53" s="603" t="s">
        <v>157</v>
      </c>
      <c r="J53" s="603" t="s">
        <v>6</v>
      </c>
      <c r="K53" s="603" t="s">
        <v>20</v>
      </c>
      <c r="L53" s="601"/>
    </row>
    <row r="54" spans="1:12" s="2" customFormat="1" ht="12.75" x14ac:dyDescent="0.2">
      <c r="A54" s="523"/>
      <c r="B54" s="602" t="s">
        <v>3407</v>
      </c>
      <c r="C54" s="411"/>
      <c r="D54" s="411"/>
      <c r="E54" s="411"/>
      <c r="F54" s="601"/>
      <c r="G54" s="523"/>
      <c r="H54" s="531" t="str">
        <f>IF('FIO B'!$K$17&gt;0%,IF('FIO B'!$G$44/'FIO B'!$H$44&lt;1,"Atenção","OK"),"")</f>
        <v/>
      </c>
      <c r="I54" s="533" t="str">
        <f>IF('FIO B'!$K$18&gt;0%,IF('FIO B'!$G$45/'FIO B'!$H$45&lt;1,"Atenção","OK"),"")</f>
        <v/>
      </c>
      <c r="J54" s="533" t="str">
        <f>IF('FIO B'!$K$19&gt;0%,IF('FIO B'!$G$46/'FIO B'!$H$46&lt;1,"Atenção","OK"),"")</f>
        <v>OK</v>
      </c>
      <c r="K54" s="533" t="str">
        <f>IF('FIO B'!$K$20&gt;0%,IF('FIO B'!$G$48/'FIO B'!$H$48&lt;1,"Atenção","OK"),"")</f>
        <v>OK</v>
      </c>
      <c r="L54" s="601"/>
    </row>
    <row r="55" spans="1:12" s="2" customFormat="1" ht="13.5" thickBot="1" x14ac:dyDescent="0.25">
      <c r="A55" s="523"/>
      <c r="B55" s="602" t="s">
        <v>3408</v>
      </c>
      <c r="C55" s="603" t="s">
        <v>3409</v>
      </c>
      <c r="D55" s="603"/>
      <c r="E55" s="603" t="s">
        <v>3410</v>
      </c>
      <c r="F55" s="601"/>
      <c r="G55" s="523"/>
      <c r="H55" s="606" t="str">
        <f>IF(H54="Atenção","Relação Ponta Fora Ponta menor que 1","")</f>
        <v/>
      </c>
      <c r="I55" s="604" t="str">
        <f>IF(I54="Atenção","Relação Ponta Fora Ponta menor que 1","")</f>
        <v/>
      </c>
      <c r="J55" s="604" t="str">
        <f>IF(J54="Atenção","Relação Ponta Fora Ponta menor que 1","")</f>
        <v/>
      </c>
      <c r="K55" s="604" t="str">
        <f>IF(K54="Atenção","Relação Ponta Fora Ponta menor que 1","")</f>
        <v/>
      </c>
      <c r="L55" s="605"/>
    </row>
    <row r="56" spans="1:12" s="2" customFormat="1" ht="12.75" x14ac:dyDescent="0.2">
      <c r="A56" s="523"/>
      <c r="B56" s="600" t="str">
        <f>IF(ISBLANK(EV_BT_BT),"",IF('DADOS - RELATORIOS CTR'!G13=100%,"Ok","Atenção"))</f>
        <v>Ok</v>
      </c>
      <c r="C56" s="411" t="str">
        <f>IF('FIO B'!C21&gt;0%,IF('FIO B'!F21=100%,"OK","Atenção"),"")</f>
        <v>Atenção</v>
      </c>
      <c r="D56" s="411"/>
      <c r="E56" s="411" t="str">
        <f>IF(SUM('FIO B'!K17:K20)&gt;0%,'FIO B'!L22,"")</f>
        <v>OK</v>
      </c>
      <c r="F56" s="601"/>
      <c r="G56" s="523"/>
      <c r="H56" s="523"/>
      <c r="I56" s="523"/>
      <c r="J56" s="523"/>
      <c r="K56" s="523"/>
      <c r="L56" s="523"/>
    </row>
    <row r="57" spans="1:12" s="2" customFormat="1" ht="12.75" x14ac:dyDescent="0.2">
      <c r="A57" s="523"/>
      <c r="B57" s="602" t="s">
        <v>3405</v>
      </c>
      <c r="C57" s="411"/>
      <c r="D57" s="411"/>
      <c r="E57" s="411"/>
      <c r="F57" s="601"/>
      <c r="G57" s="523"/>
      <c r="H57" s="523"/>
      <c r="I57" s="523"/>
      <c r="J57" s="523"/>
      <c r="K57" s="523"/>
      <c r="L57" s="523"/>
    </row>
    <row r="58" spans="1:12" s="2" customFormat="1" ht="12.75" x14ac:dyDescent="0.2">
      <c r="A58" s="523"/>
      <c r="B58" s="602" t="s">
        <v>156</v>
      </c>
      <c r="C58" s="411" t="s">
        <v>157</v>
      </c>
      <c r="D58" s="411" t="s">
        <v>6</v>
      </c>
      <c r="E58" s="411" t="s">
        <v>20</v>
      </c>
      <c r="F58" s="601"/>
      <c r="G58" s="523"/>
      <c r="H58" s="523"/>
      <c r="I58" s="523"/>
      <c r="J58" s="523"/>
      <c r="K58" s="523"/>
      <c r="L58" s="523"/>
    </row>
    <row r="59" spans="1:12" s="2" customFormat="1" ht="12.75" x14ac:dyDescent="0.2">
      <c r="A59" s="523"/>
      <c r="B59" s="600" t="str">
        <f>IF('FIO B'!K17&gt;0%,'FIO B'!J17,"")</f>
        <v/>
      </c>
      <c r="C59" s="411" t="str">
        <f>IF('FIO B'!K18&gt;0%,'FIO B'!J18,"")</f>
        <v/>
      </c>
      <c r="D59" s="411" t="str">
        <f>IF('FIO B'!K19&gt;0%,'FIO B'!J19,"")</f>
        <v>OK</v>
      </c>
      <c r="E59" s="411" t="str">
        <f>IF('FIO B'!K20&gt;0%,'FIO B'!J20,"")</f>
        <v>OK</v>
      </c>
      <c r="F59" s="601"/>
      <c r="G59" s="523"/>
      <c r="H59" s="523"/>
      <c r="I59" s="523"/>
      <c r="J59" s="523"/>
      <c r="K59" s="523"/>
      <c r="L59" s="523"/>
    </row>
    <row r="60" spans="1:12" s="2" customFormat="1" ht="13.5" thickBot="1" x14ac:dyDescent="0.25">
      <c r="A60" s="523"/>
      <c r="B60" s="606"/>
      <c r="C60" s="604"/>
      <c r="D60" s="604"/>
      <c r="E60" s="604"/>
      <c r="F60" s="605"/>
      <c r="G60" s="523"/>
      <c r="H60" s="523"/>
      <c r="I60" s="523"/>
      <c r="J60" s="523"/>
      <c r="K60" s="523"/>
      <c r="L60" s="523"/>
    </row>
    <row r="61" spans="1:12" s="2" customFormat="1" ht="12.75" x14ac:dyDescent="0.2">
      <c r="A61" s="523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3"/>
    </row>
    <row r="62" spans="1:12" s="2" customFormat="1" ht="12.75" x14ac:dyDescent="0.2">
      <c r="A62" s="523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3"/>
    </row>
    <row r="63" spans="1:12" s="2" customFormat="1" ht="12.75" x14ac:dyDescent="0.2">
      <c r="A63" s="523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3"/>
    </row>
    <row r="64" spans="1:12" s="2" customFormat="1" ht="12.75" x14ac:dyDescent="0.2"/>
    <row r="67" spans="2:6" x14ac:dyDescent="0.25">
      <c r="B67" s="10" t="s">
        <v>3478</v>
      </c>
    </row>
    <row r="68" spans="2:6" x14ac:dyDescent="0.25">
      <c r="B68" s="700" t="s">
        <v>3455</v>
      </c>
      <c r="C68" s="700" t="s">
        <v>681</v>
      </c>
      <c r="D68" s="700" t="s">
        <v>3480</v>
      </c>
      <c r="E68" s="700" t="s">
        <v>814</v>
      </c>
      <c r="F68" s="700" t="s">
        <v>142</v>
      </c>
    </row>
    <row r="69" spans="2:6" x14ac:dyDescent="0.25">
      <c r="B69" s="701"/>
      <c r="C69" s="701"/>
      <c r="D69" s="701"/>
      <c r="E69" s="701"/>
      <c r="F69" s="701"/>
    </row>
  </sheetData>
  <mergeCells count="9">
    <mergeCell ref="E48:F48"/>
    <mergeCell ref="E49:F49"/>
    <mergeCell ref="B29:B30"/>
    <mergeCell ref="B21:B22"/>
    <mergeCell ref="C3:G3"/>
    <mergeCell ref="C4:G4"/>
    <mergeCell ref="B13:B14"/>
    <mergeCell ref="E46:F46"/>
    <mergeCell ref="E47:F47"/>
  </mergeCells>
  <conditionalFormatting sqref="C23:C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{D66ED162-748D-4AB1-8684-B581E35941C0}</x14:id>
        </ext>
      </extLst>
    </cfRule>
  </conditionalFormatting>
  <conditionalFormatting sqref="D23:D2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{29F6921D-95E8-48BD-8B01-FE743EABB9F0}</x14:id>
        </ext>
      </extLst>
    </cfRule>
  </conditionalFormatting>
  <conditionalFormatting sqref="G14:G16">
    <cfRule type="iconSet" priority="2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14:H16">
    <cfRule type="iconSet" priority="2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6">
    <cfRule type="cellIs" dxfId="179" priority="15" operator="equal">
      <formula>"Atenção"</formula>
    </cfRule>
    <cfRule type="cellIs" dxfId="178" priority="16" operator="equal">
      <formula>"""Atenção"""</formula>
    </cfRule>
    <cfRule type="cellIs" dxfId="177" priority="17" operator="equal">
      <formula>"ERRO"</formula>
    </cfRule>
    <cfRule type="cellIs" dxfId="176" priority="18" operator="equal">
      <formula>"OK"</formula>
    </cfRule>
  </conditionalFormatting>
  <conditionalFormatting sqref="B48">
    <cfRule type="cellIs" dxfId="175" priority="11" operator="equal">
      <formula>"Atenção"</formula>
    </cfRule>
    <cfRule type="cellIs" dxfId="174" priority="14" operator="equal">
      <formula>""</formula>
    </cfRule>
  </conditionalFormatting>
  <conditionalFormatting sqref="B50">
    <cfRule type="cellIs" dxfId="173" priority="8" operator="equal">
      <formula>"Atenção"</formula>
    </cfRule>
    <cfRule type="cellIs" dxfId="172" priority="9" operator="equal">
      <formula>""</formula>
    </cfRule>
  </conditionalFormatting>
  <conditionalFormatting sqref="H49:L49">
    <cfRule type="cellIs" dxfId="171" priority="6" operator="equal">
      <formula>"Atenção"</formula>
    </cfRule>
    <cfRule type="cellIs" dxfId="170" priority="7" operator="equal">
      <formula>""</formula>
    </cfRule>
  </conditionalFormatting>
  <conditionalFormatting sqref="H54">
    <cfRule type="cellIs" dxfId="169" priority="4" operator="equal">
      <formula>"Atenção"</formula>
    </cfRule>
    <cfRule type="cellIs" dxfId="168" priority="5" operator="equal">
      <formula>""</formula>
    </cfRule>
  </conditionalFormatting>
  <conditionalFormatting sqref="I54:K54">
    <cfRule type="cellIs" dxfId="167" priority="2" operator="equal">
      <formula>"Atenção"</formula>
    </cfRule>
    <cfRule type="cellIs" dxfId="166" priority="3" operator="equal">
      <formula>""</formula>
    </cfRule>
  </conditionalFormatting>
  <conditionalFormatting sqref="D46:D49">
    <cfRule type="cellIs" dxfId="165" priority="1" operator="equal">
      <formula>"Atenção"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UC">
          <controlPr defaultSize="0" autoLine="0" r:id="rId5">
            <anchor moveWithCells="1">
              <from>
                <xdr:col>1</xdr:col>
                <xdr:colOff>28575</xdr:colOff>
                <xdr:row>63</xdr:row>
                <xdr:rowOff>104775</xdr:rowOff>
              </from>
              <to>
                <xdr:col>1</xdr:col>
                <xdr:colOff>1619250</xdr:colOff>
                <xdr:row>65</xdr:row>
                <xdr:rowOff>38100</xdr:rowOff>
              </to>
            </anchor>
          </controlPr>
        </control>
      </mc:Choice>
      <mc:Fallback>
        <control shapeId="3073" r:id="rId4" name="UC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ED162-748D-4AB1-8684-B581E35941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29F6921D-95E8-48BD-8B01-FE743EABB9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D23:D26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Aux!$D$2:$D$65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0"/>
  <dimension ref="B1:AI340"/>
  <sheetViews>
    <sheetView showGridLines="0" topLeftCell="A160" workbookViewId="0">
      <selection activeCell="G310" sqref="G310:M310"/>
    </sheetView>
  </sheetViews>
  <sheetFormatPr defaultColWidth="9.140625" defaultRowHeight="12" x14ac:dyDescent="0.2"/>
  <cols>
    <col min="1" max="1" width="0.85546875" style="193" customWidth="1"/>
    <col min="2" max="2" width="14.7109375" style="193" bestFit="1" customWidth="1"/>
    <col min="3" max="3" width="9.140625" style="193"/>
    <col min="4" max="4" width="3.5703125" style="193" bestFit="1" customWidth="1"/>
    <col min="5" max="5" width="5.42578125" style="193" bestFit="1" customWidth="1"/>
    <col min="6" max="6" width="3.85546875" style="193" bestFit="1" customWidth="1"/>
    <col min="7" max="7" width="10.85546875" style="193" bestFit="1" customWidth="1"/>
    <col min="8" max="16" width="10.42578125" style="193" bestFit="1" customWidth="1"/>
    <col min="17" max="16384" width="9.140625" style="193"/>
  </cols>
  <sheetData>
    <row r="1" spans="2:34" x14ac:dyDescent="0.2">
      <c r="B1" s="191" t="s">
        <v>359</v>
      </c>
      <c r="C1" s="192">
        <v>4.1666666666666664E-2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5"/>
      <c r="S1" s="195"/>
    </row>
    <row r="2" spans="2:34" x14ac:dyDescent="0.2">
      <c r="B2" s="803" t="s">
        <v>621</v>
      </c>
      <c r="C2" s="804"/>
      <c r="D2" s="800"/>
      <c r="E2" s="801"/>
      <c r="F2" s="802"/>
      <c r="G2" s="196" t="s">
        <v>26</v>
      </c>
      <c r="H2" s="196" t="s">
        <v>26</v>
      </c>
      <c r="I2" s="196" t="s">
        <v>26</v>
      </c>
      <c r="J2" s="196" t="s">
        <v>26</v>
      </c>
      <c r="K2" s="196" t="s">
        <v>26</v>
      </c>
      <c r="L2" s="196" t="s">
        <v>26</v>
      </c>
      <c r="M2" s="196" t="s">
        <v>26</v>
      </c>
      <c r="N2" s="196" t="s">
        <v>26</v>
      </c>
      <c r="O2" s="196" t="s">
        <v>26</v>
      </c>
      <c r="P2" s="196" t="s">
        <v>26</v>
      </c>
      <c r="Q2" s="196" t="s">
        <v>26</v>
      </c>
      <c r="R2" s="196" t="s">
        <v>26</v>
      </c>
      <c r="S2" s="196" t="s">
        <v>26</v>
      </c>
      <c r="T2" s="196" t="s">
        <v>26</v>
      </c>
      <c r="U2" s="196" t="s">
        <v>26</v>
      </c>
      <c r="V2" s="196" t="s">
        <v>26</v>
      </c>
      <c r="W2" s="196" t="s">
        <v>26</v>
      </c>
      <c r="X2" s="196" t="s">
        <v>26</v>
      </c>
      <c r="Y2" s="196" t="s">
        <v>26</v>
      </c>
      <c r="Z2" s="196" t="s">
        <v>26</v>
      </c>
      <c r="AA2" s="196" t="s">
        <v>26</v>
      </c>
      <c r="AB2" s="196" t="s">
        <v>26</v>
      </c>
      <c r="AC2" s="196" t="s">
        <v>26</v>
      </c>
      <c r="AD2" s="196" t="s">
        <v>26</v>
      </c>
      <c r="AE2" s="196" t="s">
        <v>26</v>
      </c>
      <c r="AF2" s="197"/>
    </row>
    <row r="3" spans="2:34" x14ac:dyDescent="0.2">
      <c r="B3" s="803" t="s">
        <v>20</v>
      </c>
      <c r="C3" s="804"/>
      <c r="D3" s="390"/>
      <c r="E3" s="391"/>
      <c r="F3" s="392"/>
      <c r="G3" s="196">
        <v>1</v>
      </c>
      <c r="H3" s="196">
        <v>2</v>
      </c>
      <c r="I3" s="196">
        <v>3</v>
      </c>
      <c r="J3" s="196">
        <v>4</v>
      </c>
      <c r="K3" s="196">
        <v>5</v>
      </c>
      <c r="L3" s="196">
        <v>6</v>
      </c>
      <c r="M3" s="196">
        <v>7</v>
      </c>
      <c r="N3" s="196">
        <v>8</v>
      </c>
      <c r="O3" s="196">
        <v>9</v>
      </c>
      <c r="P3" s="196">
        <v>10</v>
      </c>
      <c r="Q3" s="196">
        <v>11</v>
      </c>
      <c r="R3" s="196">
        <v>12</v>
      </c>
      <c r="S3" s="196">
        <v>13</v>
      </c>
      <c r="T3" s="196">
        <v>14</v>
      </c>
      <c r="U3" s="196">
        <v>15</v>
      </c>
      <c r="V3" s="196">
        <v>16</v>
      </c>
      <c r="W3" s="196">
        <v>17</v>
      </c>
      <c r="X3" s="196">
        <v>18</v>
      </c>
      <c r="Y3" s="196">
        <v>19</v>
      </c>
      <c r="Z3" s="196">
        <v>20</v>
      </c>
      <c r="AA3" s="196">
        <v>21</v>
      </c>
      <c r="AB3" s="196">
        <v>22</v>
      </c>
      <c r="AC3" s="196">
        <v>23</v>
      </c>
      <c r="AD3" s="196">
        <v>24</v>
      </c>
      <c r="AE3" s="196">
        <v>25</v>
      </c>
      <c r="AF3" s="197" t="s">
        <v>620</v>
      </c>
      <c r="AH3" s="197" t="s">
        <v>620</v>
      </c>
    </row>
    <row r="4" spans="2:34" x14ac:dyDescent="0.2">
      <c r="B4" s="803"/>
      <c r="C4" s="804"/>
      <c r="D4" s="800" t="s">
        <v>48</v>
      </c>
      <c r="E4" s="801"/>
      <c r="F4" s="802"/>
      <c r="G4" s="196" t="s">
        <v>362</v>
      </c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7"/>
      <c r="AH4" s="197" t="s">
        <v>20</v>
      </c>
    </row>
    <row r="5" spans="2:34" x14ac:dyDescent="0.2">
      <c r="B5" s="803" t="s">
        <v>47</v>
      </c>
      <c r="C5" s="804"/>
      <c r="D5" s="390"/>
      <c r="E5" s="391" t="s">
        <v>360</v>
      </c>
      <c r="F5" s="392"/>
      <c r="G5" s="198" t="s">
        <v>343</v>
      </c>
      <c r="H5" s="198" t="s">
        <v>343</v>
      </c>
      <c r="I5" s="198" t="s">
        <v>343</v>
      </c>
      <c r="J5" s="198" t="s">
        <v>343</v>
      </c>
      <c r="K5" s="198" t="s">
        <v>343</v>
      </c>
      <c r="L5" s="198" t="s">
        <v>343</v>
      </c>
      <c r="M5" s="198" t="s">
        <v>343</v>
      </c>
      <c r="N5" s="198" t="s">
        <v>343</v>
      </c>
      <c r="O5" s="198" t="s">
        <v>343</v>
      </c>
      <c r="P5" s="198" t="s">
        <v>343</v>
      </c>
      <c r="Q5" s="198" t="s">
        <v>343</v>
      </c>
      <c r="R5" s="198" t="s">
        <v>343</v>
      </c>
      <c r="S5" s="198" t="s">
        <v>343</v>
      </c>
      <c r="T5" s="198" t="s">
        <v>343</v>
      </c>
      <c r="U5" s="198" t="s">
        <v>343</v>
      </c>
      <c r="V5" s="198" t="s">
        <v>343</v>
      </c>
      <c r="W5" s="198" t="s">
        <v>343</v>
      </c>
      <c r="X5" s="198" t="s">
        <v>343</v>
      </c>
      <c r="Y5" s="198" t="s">
        <v>343</v>
      </c>
      <c r="Z5" s="198" t="s">
        <v>343</v>
      </c>
      <c r="AA5" s="198" t="s">
        <v>343</v>
      </c>
      <c r="AB5" s="198" t="s">
        <v>343</v>
      </c>
      <c r="AC5" s="198" t="s">
        <v>343</v>
      </c>
      <c r="AD5" s="198" t="s">
        <v>343</v>
      </c>
      <c r="AE5" s="198" t="s">
        <v>343</v>
      </c>
      <c r="AF5" s="199" t="s">
        <v>343</v>
      </c>
      <c r="AH5" s="197"/>
    </row>
    <row r="6" spans="2:34" x14ac:dyDescent="0.2">
      <c r="B6" s="252">
        <f>'DADOS-Campanha'!$J$23</f>
        <v>0.75</v>
      </c>
      <c r="C6" s="200">
        <f>B6+$C$1</f>
        <v>0.79166666666666663</v>
      </c>
      <c r="D6" s="271">
        <f>HOUR(B6)+HOUR($C$1)</f>
        <v>19</v>
      </c>
      <c r="E6" s="202" t="s">
        <v>339</v>
      </c>
      <c r="F6" s="203" t="s">
        <v>356</v>
      </c>
      <c r="G6" s="644">
        <v>0.99680354612691402</v>
      </c>
      <c r="H6" s="644"/>
      <c r="I6" s="644"/>
      <c r="J6" s="644"/>
      <c r="K6" s="644"/>
      <c r="L6" s="644"/>
      <c r="M6" s="644"/>
      <c r="N6" s="644"/>
      <c r="O6" s="644"/>
      <c r="P6" s="644"/>
      <c r="Q6" s="644"/>
      <c r="R6" s="644"/>
      <c r="S6" s="644"/>
      <c r="T6" s="644"/>
      <c r="U6" s="644"/>
      <c r="V6" s="644"/>
      <c r="W6" s="644"/>
      <c r="X6" s="644"/>
      <c r="Y6" s="644"/>
      <c r="Z6" s="644"/>
      <c r="AA6" s="644"/>
      <c r="AB6" s="644"/>
      <c r="AC6" s="644"/>
      <c r="AD6" s="644"/>
      <c r="AE6" s="644"/>
      <c r="AF6" s="204">
        <f t="shared" ref="AF6:AF15" si="0">SUM(G6:AE6)</f>
        <v>0.99680354612691402</v>
      </c>
      <c r="AH6" s="206">
        <f t="shared" ref="AH6:AH29" si="1">AF6+AF40+AF74+AF108+AF142+AF176+AF210</f>
        <v>20.570371436847289</v>
      </c>
    </row>
    <row r="7" spans="2:34" x14ac:dyDescent="0.2">
      <c r="B7" s="252">
        <f>C6</f>
        <v>0.79166666666666663</v>
      </c>
      <c r="C7" s="200">
        <f>B7+$C$1</f>
        <v>0.83333333333333326</v>
      </c>
      <c r="D7" s="271">
        <f t="shared" ref="D7:D29" si="2">HOUR(B7)+HOUR($C$1)</f>
        <v>20</v>
      </c>
      <c r="E7" s="202" t="s">
        <v>339</v>
      </c>
      <c r="F7" s="203" t="s">
        <v>356</v>
      </c>
      <c r="G7" s="644">
        <v>1.4782784665202799</v>
      </c>
      <c r="H7" s="644"/>
      <c r="I7" s="644"/>
      <c r="J7" s="644"/>
      <c r="K7" s="644"/>
      <c r="L7" s="644"/>
      <c r="M7" s="644"/>
      <c r="N7" s="644"/>
      <c r="O7" s="644"/>
      <c r="P7" s="644"/>
      <c r="Q7" s="644"/>
      <c r="R7" s="644"/>
      <c r="S7" s="644"/>
      <c r="T7" s="644"/>
      <c r="U7" s="644"/>
      <c r="V7" s="644"/>
      <c r="W7" s="644"/>
      <c r="X7" s="644"/>
      <c r="Y7" s="644"/>
      <c r="Z7" s="644"/>
      <c r="AA7" s="644"/>
      <c r="AB7" s="644"/>
      <c r="AC7" s="644"/>
      <c r="AD7" s="644"/>
      <c r="AE7" s="644"/>
      <c r="AF7" s="204">
        <f t="shared" si="0"/>
        <v>1.4782784665202799</v>
      </c>
      <c r="AH7" s="206">
        <f t="shared" si="1"/>
        <v>20.999223142417978</v>
      </c>
    </row>
    <row r="8" spans="2:34" x14ac:dyDescent="0.2">
      <c r="B8" s="252">
        <f t="shared" ref="B8:B29" si="3">C7</f>
        <v>0.83333333333333326</v>
      </c>
      <c r="C8" s="200">
        <f t="shared" ref="C8:C29" si="4">B8+$C$1</f>
        <v>0.87499999999999989</v>
      </c>
      <c r="D8" s="271">
        <f t="shared" si="2"/>
        <v>21</v>
      </c>
      <c r="E8" s="202" t="s">
        <v>339</v>
      </c>
      <c r="F8" s="203" t="s">
        <v>356</v>
      </c>
      <c r="G8" s="644">
        <v>1.4782784665202799</v>
      </c>
      <c r="H8" s="644"/>
      <c r="I8" s="644"/>
      <c r="J8" s="644"/>
      <c r="K8" s="644"/>
      <c r="L8" s="644"/>
      <c r="M8" s="644"/>
      <c r="N8" s="644"/>
      <c r="O8" s="644"/>
      <c r="P8" s="644"/>
      <c r="Q8" s="644"/>
      <c r="R8" s="644"/>
      <c r="S8" s="644"/>
      <c r="T8" s="644"/>
      <c r="U8" s="644"/>
      <c r="V8" s="644"/>
      <c r="W8" s="644"/>
      <c r="X8" s="644"/>
      <c r="Y8" s="644"/>
      <c r="Z8" s="644"/>
      <c r="AA8" s="644"/>
      <c r="AB8" s="644"/>
      <c r="AC8" s="644"/>
      <c r="AD8" s="644"/>
      <c r="AE8" s="644"/>
      <c r="AF8" s="204">
        <f t="shared" si="0"/>
        <v>1.4782784665202799</v>
      </c>
      <c r="AH8" s="206">
        <f t="shared" si="1"/>
        <v>21.277952513427746</v>
      </c>
    </row>
    <row r="9" spans="2:34" x14ac:dyDescent="0.2">
      <c r="B9" s="252">
        <f t="shared" si="3"/>
        <v>0.87499999999999989</v>
      </c>
      <c r="C9" s="200">
        <f t="shared" si="4"/>
        <v>0.91666666666666652</v>
      </c>
      <c r="D9" s="271">
        <f t="shared" si="2"/>
        <v>22</v>
      </c>
      <c r="E9" s="202" t="s">
        <v>361</v>
      </c>
      <c r="F9" s="203" t="s">
        <v>358</v>
      </c>
      <c r="G9" s="644">
        <v>1.4782784665202799</v>
      </c>
      <c r="H9" s="644"/>
      <c r="I9" s="644"/>
      <c r="J9" s="644"/>
      <c r="K9" s="644"/>
      <c r="L9" s="644"/>
      <c r="M9" s="644"/>
      <c r="N9" s="644"/>
      <c r="O9" s="644"/>
      <c r="P9" s="644"/>
      <c r="Q9" s="644"/>
      <c r="R9" s="644"/>
      <c r="S9" s="644"/>
      <c r="T9" s="644"/>
      <c r="U9" s="644"/>
      <c r="V9" s="644"/>
      <c r="W9" s="644"/>
      <c r="X9" s="644"/>
      <c r="Y9" s="644"/>
      <c r="Z9" s="644"/>
      <c r="AA9" s="644"/>
      <c r="AB9" s="644"/>
      <c r="AC9" s="644"/>
      <c r="AD9" s="644"/>
      <c r="AE9" s="644"/>
      <c r="AF9" s="204">
        <f t="shared" si="0"/>
        <v>1.4782784665202799</v>
      </c>
      <c r="AH9" s="206">
        <f t="shared" si="1"/>
        <v>17.433349252646376</v>
      </c>
    </row>
    <row r="10" spans="2:34" x14ac:dyDescent="0.2">
      <c r="B10" s="252">
        <f t="shared" si="3"/>
        <v>0.91666666666666652</v>
      </c>
      <c r="C10" s="200">
        <f t="shared" si="4"/>
        <v>0.95833333333333315</v>
      </c>
      <c r="D10" s="271">
        <f t="shared" si="2"/>
        <v>23</v>
      </c>
      <c r="E10" s="202" t="s">
        <v>340</v>
      </c>
      <c r="F10" s="203" t="s">
        <v>358</v>
      </c>
      <c r="G10" s="644">
        <v>1.4782784665202799</v>
      </c>
      <c r="H10" s="644"/>
      <c r="I10" s="644"/>
      <c r="J10" s="644"/>
      <c r="K10" s="644"/>
      <c r="L10" s="644"/>
      <c r="M10" s="644"/>
      <c r="N10" s="644"/>
      <c r="O10" s="644"/>
      <c r="P10" s="644"/>
      <c r="Q10" s="644"/>
      <c r="R10" s="644"/>
      <c r="S10" s="644"/>
      <c r="T10" s="644"/>
      <c r="U10" s="644"/>
      <c r="V10" s="644"/>
      <c r="W10" s="644"/>
      <c r="X10" s="644"/>
      <c r="Y10" s="644"/>
      <c r="Z10" s="644"/>
      <c r="AA10" s="644"/>
      <c r="AB10" s="644"/>
      <c r="AC10" s="644"/>
      <c r="AD10" s="644"/>
      <c r="AE10" s="644"/>
      <c r="AF10" s="204">
        <f t="shared" si="0"/>
        <v>1.4782784665202799</v>
      </c>
      <c r="AH10" s="206">
        <f t="shared" si="1"/>
        <v>14.808280656350849</v>
      </c>
    </row>
    <row r="11" spans="2:34" x14ac:dyDescent="0.2">
      <c r="B11" s="252">
        <f t="shared" si="3"/>
        <v>0.95833333333333315</v>
      </c>
      <c r="C11" s="200">
        <f t="shared" si="4"/>
        <v>0.99999999999999978</v>
      </c>
      <c r="D11" s="271">
        <f t="shared" si="2"/>
        <v>24</v>
      </c>
      <c r="E11" s="202" t="s">
        <v>340</v>
      </c>
      <c r="F11" s="203" t="s">
        <v>358</v>
      </c>
      <c r="G11" s="644">
        <v>1.4782784665202799</v>
      </c>
      <c r="H11" s="644"/>
      <c r="I11" s="644"/>
      <c r="J11" s="644"/>
      <c r="K11" s="644"/>
      <c r="L11" s="644"/>
      <c r="M11" s="644"/>
      <c r="N11" s="644"/>
      <c r="O11" s="644"/>
      <c r="P11" s="644"/>
      <c r="Q11" s="644"/>
      <c r="R11" s="644"/>
      <c r="S11" s="644"/>
      <c r="T11" s="644"/>
      <c r="U11" s="644"/>
      <c r="V11" s="644"/>
      <c r="W11" s="644"/>
      <c r="X11" s="644"/>
      <c r="Y11" s="644"/>
      <c r="Z11" s="644"/>
      <c r="AA11" s="644"/>
      <c r="AB11" s="644"/>
      <c r="AC11" s="644"/>
      <c r="AD11" s="644"/>
      <c r="AE11" s="644"/>
      <c r="AF11" s="204">
        <f t="shared" si="0"/>
        <v>1.4782784665202799</v>
      </c>
      <c r="AH11" s="206">
        <f t="shared" si="1"/>
        <v>11.837291322934687</v>
      </c>
    </row>
    <row r="12" spans="2:34" x14ac:dyDescent="0.2">
      <c r="B12" s="252">
        <f t="shared" si="3"/>
        <v>0.99999999999999978</v>
      </c>
      <c r="C12" s="200">
        <f t="shared" si="4"/>
        <v>1.0416666666666665</v>
      </c>
      <c r="D12" s="271">
        <f t="shared" si="2"/>
        <v>1</v>
      </c>
      <c r="E12" s="202" t="s">
        <v>340</v>
      </c>
      <c r="F12" s="203" t="s">
        <v>358</v>
      </c>
      <c r="G12" s="644">
        <v>1.4782784665202799</v>
      </c>
      <c r="H12" s="644"/>
      <c r="I12" s="644"/>
      <c r="J12" s="644"/>
      <c r="K12" s="644"/>
      <c r="L12" s="644"/>
      <c r="M12" s="644"/>
      <c r="N12" s="644"/>
      <c r="O12" s="644"/>
      <c r="P12" s="644"/>
      <c r="Q12" s="644"/>
      <c r="R12" s="644"/>
      <c r="S12" s="644"/>
      <c r="T12" s="644"/>
      <c r="U12" s="644"/>
      <c r="V12" s="644"/>
      <c r="W12" s="644"/>
      <c r="X12" s="644"/>
      <c r="Y12" s="644"/>
      <c r="Z12" s="644"/>
      <c r="AA12" s="644"/>
      <c r="AB12" s="644"/>
      <c r="AC12" s="644"/>
      <c r="AD12" s="644"/>
      <c r="AE12" s="644"/>
      <c r="AF12" s="204">
        <f t="shared" si="0"/>
        <v>1.4782784665202799</v>
      </c>
      <c r="AH12" s="206">
        <f t="shared" si="1"/>
        <v>9.1357723130503672</v>
      </c>
    </row>
    <row r="13" spans="2:34" x14ac:dyDescent="0.2">
      <c r="B13" s="252">
        <f t="shared" si="3"/>
        <v>1.0416666666666665</v>
      </c>
      <c r="C13" s="200">
        <f t="shared" si="4"/>
        <v>1.0833333333333333</v>
      </c>
      <c r="D13" s="271">
        <f t="shared" si="2"/>
        <v>2</v>
      </c>
      <c r="E13" s="202" t="s">
        <v>340</v>
      </c>
      <c r="F13" s="203" t="s">
        <v>358</v>
      </c>
      <c r="G13" s="644">
        <v>1.4782784665202799</v>
      </c>
      <c r="H13" s="644"/>
      <c r="I13" s="644"/>
      <c r="J13" s="644"/>
      <c r="K13" s="644"/>
      <c r="L13" s="644"/>
      <c r="M13" s="644"/>
      <c r="N13" s="644"/>
      <c r="O13" s="644"/>
      <c r="P13" s="644"/>
      <c r="Q13" s="644"/>
      <c r="R13" s="644"/>
      <c r="S13" s="644"/>
      <c r="T13" s="644"/>
      <c r="U13" s="644"/>
      <c r="V13" s="644"/>
      <c r="W13" s="644"/>
      <c r="X13" s="644"/>
      <c r="Y13" s="644"/>
      <c r="Z13" s="644"/>
      <c r="AA13" s="644"/>
      <c r="AB13" s="644"/>
      <c r="AC13" s="644"/>
      <c r="AD13" s="644"/>
      <c r="AE13" s="644"/>
      <c r="AF13" s="204">
        <f t="shared" si="0"/>
        <v>1.4782784665202799</v>
      </c>
      <c r="AH13" s="206">
        <f t="shared" si="1"/>
        <v>8.1290315214747455</v>
      </c>
    </row>
    <row r="14" spans="2:34" x14ac:dyDescent="0.2">
      <c r="B14" s="252">
        <f t="shared" si="3"/>
        <v>1.0833333333333333</v>
      </c>
      <c r="C14" s="200">
        <f t="shared" si="4"/>
        <v>1.125</v>
      </c>
      <c r="D14" s="271">
        <f t="shared" si="2"/>
        <v>3</v>
      </c>
      <c r="E14" s="202" t="s">
        <v>340</v>
      </c>
      <c r="F14" s="203" t="s">
        <v>358</v>
      </c>
      <c r="G14" s="644">
        <v>1.4782784665202799</v>
      </c>
      <c r="H14" s="644"/>
      <c r="I14" s="644"/>
      <c r="J14" s="644"/>
      <c r="K14" s="644"/>
      <c r="L14" s="644"/>
      <c r="M14" s="644"/>
      <c r="N14" s="644"/>
      <c r="O14" s="644"/>
      <c r="P14" s="644"/>
      <c r="Q14" s="644"/>
      <c r="R14" s="644"/>
      <c r="S14" s="644"/>
      <c r="T14" s="644"/>
      <c r="U14" s="644"/>
      <c r="V14" s="644"/>
      <c r="W14" s="644"/>
      <c r="X14" s="644"/>
      <c r="Y14" s="644"/>
      <c r="Z14" s="644"/>
      <c r="AA14" s="644"/>
      <c r="AB14" s="644"/>
      <c r="AC14" s="644"/>
      <c r="AD14" s="644"/>
      <c r="AE14" s="644"/>
      <c r="AF14" s="204">
        <f t="shared" si="0"/>
        <v>1.4782784665202799</v>
      </c>
      <c r="AH14" s="206">
        <f t="shared" si="1"/>
        <v>8.0245862715154708</v>
      </c>
    </row>
    <row r="15" spans="2:34" x14ac:dyDescent="0.2">
      <c r="B15" s="252">
        <f t="shared" si="3"/>
        <v>1.125</v>
      </c>
      <c r="C15" s="200">
        <f t="shared" si="4"/>
        <v>1.1666666666666667</v>
      </c>
      <c r="D15" s="271">
        <f t="shared" si="2"/>
        <v>4</v>
      </c>
      <c r="E15" s="202" t="s">
        <v>340</v>
      </c>
      <c r="F15" s="203" t="s">
        <v>358</v>
      </c>
      <c r="G15" s="644">
        <v>1.4782784665202799</v>
      </c>
      <c r="H15" s="644"/>
      <c r="I15" s="644"/>
      <c r="J15" s="644"/>
      <c r="K15" s="644"/>
      <c r="L15" s="644"/>
      <c r="M15" s="644"/>
      <c r="N15" s="644"/>
      <c r="O15" s="644"/>
      <c r="P15" s="644"/>
      <c r="Q15" s="644"/>
      <c r="R15" s="644"/>
      <c r="S15" s="644"/>
      <c r="T15" s="644"/>
      <c r="U15" s="644"/>
      <c r="V15" s="644"/>
      <c r="W15" s="644"/>
      <c r="X15" s="644"/>
      <c r="Y15" s="644"/>
      <c r="Z15" s="644"/>
      <c r="AA15" s="644"/>
      <c r="AB15" s="644"/>
      <c r="AC15" s="644"/>
      <c r="AD15" s="644"/>
      <c r="AE15" s="644"/>
      <c r="AF15" s="204">
        <f t="shared" si="0"/>
        <v>1.4782784665202799</v>
      </c>
      <c r="AH15" s="206">
        <f t="shared" si="1"/>
        <v>7.7095486629407528</v>
      </c>
    </row>
    <row r="16" spans="2:34" x14ac:dyDescent="0.2">
      <c r="B16" s="252">
        <f t="shared" si="3"/>
        <v>1.1666666666666667</v>
      </c>
      <c r="C16" s="200">
        <f t="shared" si="4"/>
        <v>1.2083333333333335</v>
      </c>
      <c r="D16" s="271">
        <f t="shared" si="2"/>
        <v>5</v>
      </c>
      <c r="E16" s="202" t="s">
        <v>340</v>
      </c>
      <c r="F16" s="203" t="s">
        <v>358</v>
      </c>
      <c r="G16" s="644">
        <v>1.4782784665202799</v>
      </c>
      <c r="H16" s="644"/>
      <c r="I16" s="644"/>
      <c r="J16" s="644"/>
      <c r="K16" s="644"/>
      <c r="L16" s="644"/>
      <c r="M16" s="644"/>
      <c r="N16" s="644"/>
      <c r="O16" s="644"/>
      <c r="P16" s="644"/>
      <c r="Q16" s="644"/>
      <c r="R16" s="644"/>
      <c r="S16" s="644"/>
      <c r="T16" s="644"/>
      <c r="U16" s="644"/>
      <c r="V16" s="644"/>
      <c r="W16" s="644"/>
      <c r="X16" s="644"/>
      <c r="Y16" s="644"/>
      <c r="Z16" s="644"/>
      <c r="AA16" s="644"/>
      <c r="AB16" s="644"/>
      <c r="AC16" s="644"/>
      <c r="AD16" s="644"/>
      <c r="AE16" s="644"/>
      <c r="AF16" s="204">
        <f t="shared" ref="AF16:AF29" si="5">SUM(G16:AE16)</f>
        <v>1.4782784665202799</v>
      </c>
      <c r="AH16" s="206">
        <f t="shared" si="1"/>
        <v>7.6057392681333873</v>
      </c>
    </row>
    <row r="17" spans="2:35" x14ac:dyDescent="0.2">
      <c r="B17" s="252">
        <f t="shared" si="3"/>
        <v>1.2083333333333335</v>
      </c>
      <c r="C17" s="200">
        <f t="shared" si="4"/>
        <v>1.2500000000000002</v>
      </c>
      <c r="D17" s="271">
        <f t="shared" si="2"/>
        <v>6</v>
      </c>
      <c r="E17" s="202" t="s">
        <v>340</v>
      </c>
      <c r="F17" s="203" t="s">
        <v>358</v>
      </c>
      <c r="G17" s="644">
        <v>1.2939638485572</v>
      </c>
      <c r="H17" s="644"/>
      <c r="I17" s="644"/>
      <c r="J17" s="644"/>
      <c r="K17" s="644"/>
      <c r="L17" s="644"/>
      <c r="M17" s="644"/>
      <c r="N17" s="644"/>
      <c r="O17" s="644"/>
      <c r="P17" s="644"/>
      <c r="Q17" s="644"/>
      <c r="R17" s="644"/>
      <c r="S17" s="644"/>
      <c r="T17" s="644"/>
      <c r="U17" s="644"/>
      <c r="V17" s="644"/>
      <c r="W17" s="644"/>
      <c r="X17" s="644"/>
      <c r="Y17" s="644"/>
      <c r="Z17" s="644"/>
      <c r="AA17" s="644"/>
      <c r="AB17" s="644"/>
      <c r="AC17" s="644"/>
      <c r="AD17" s="644"/>
      <c r="AE17" s="644"/>
      <c r="AF17" s="204">
        <f t="shared" si="5"/>
        <v>1.2939638485572</v>
      </c>
      <c r="AH17" s="206">
        <f t="shared" si="1"/>
        <v>8.0793174617107617</v>
      </c>
    </row>
    <row r="18" spans="2:35" x14ac:dyDescent="0.2">
      <c r="B18" s="252">
        <f t="shared" si="3"/>
        <v>1.2500000000000002</v>
      </c>
      <c r="C18" s="200">
        <f t="shared" si="4"/>
        <v>1.291666666666667</v>
      </c>
      <c r="D18" s="271">
        <f t="shared" si="2"/>
        <v>7</v>
      </c>
      <c r="E18" s="202" t="s">
        <v>340</v>
      </c>
      <c r="F18" s="203" t="s">
        <v>358</v>
      </c>
      <c r="G18" s="644">
        <v>0.101561116020478</v>
      </c>
      <c r="H18" s="644"/>
      <c r="I18" s="644"/>
      <c r="J18" s="644"/>
      <c r="K18" s="644"/>
      <c r="L18" s="644"/>
      <c r="M18" s="644"/>
      <c r="N18" s="644"/>
      <c r="O18" s="644"/>
      <c r="P18" s="644"/>
      <c r="Q18" s="644"/>
      <c r="R18" s="644"/>
      <c r="S18" s="644"/>
      <c r="T18" s="644"/>
      <c r="U18" s="644"/>
      <c r="V18" s="644"/>
      <c r="W18" s="644"/>
      <c r="X18" s="644"/>
      <c r="Y18" s="644"/>
      <c r="Z18" s="644"/>
      <c r="AA18" s="644"/>
      <c r="AB18" s="644"/>
      <c r="AC18" s="644"/>
      <c r="AD18" s="644"/>
      <c r="AE18" s="644"/>
      <c r="AF18" s="204">
        <f t="shared" si="5"/>
        <v>0.101561116020478</v>
      </c>
      <c r="AH18" s="206">
        <f t="shared" si="1"/>
        <v>10.511166767978471</v>
      </c>
    </row>
    <row r="19" spans="2:35" x14ac:dyDescent="0.2">
      <c r="B19" s="252">
        <f t="shared" si="3"/>
        <v>1.291666666666667</v>
      </c>
      <c r="C19" s="200">
        <f t="shared" si="4"/>
        <v>1.3333333333333337</v>
      </c>
      <c r="D19" s="271">
        <f t="shared" si="2"/>
        <v>8</v>
      </c>
      <c r="E19" s="202" t="s">
        <v>340</v>
      </c>
      <c r="F19" s="203" t="s">
        <v>358</v>
      </c>
      <c r="G19" s="644">
        <v>0</v>
      </c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644"/>
      <c r="S19" s="644"/>
      <c r="T19" s="644"/>
      <c r="U19" s="644"/>
      <c r="V19" s="644"/>
      <c r="W19" s="644"/>
      <c r="X19" s="644"/>
      <c r="Y19" s="644"/>
      <c r="Z19" s="644"/>
      <c r="AA19" s="644"/>
      <c r="AB19" s="644"/>
      <c r="AC19" s="644"/>
      <c r="AD19" s="644"/>
      <c r="AE19" s="644"/>
      <c r="AF19" s="204">
        <f t="shared" si="5"/>
        <v>0</v>
      </c>
      <c r="AH19" s="206">
        <f t="shared" si="1"/>
        <v>10.309399108849981</v>
      </c>
    </row>
    <row r="20" spans="2:35" x14ac:dyDescent="0.2">
      <c r="B20" s="252">
        <f t="shared" si="3"/>
        <v>1.3333333333333337</v>
      </c>
      <c r="C20" s="200">
        <f t="shared" si="4"/>
        <v>1.3750000000000004</v>
      </c>
      <c r="D20" s="271">
        <f t="shared" si="2"/>
        <v>9</v>
      </c>
      <c r="E20" s="202" t="s">
        <v>340</v>
      </c>
      <c r="F20" s="203" t="s">
        <v>358</v>
      </c>
      <c r="G20" s="644">
        <v>0</v>
      </c>
      <c r="H20" s="644"/>
      <c r="I20" s="644"/>
      <c r="J20" s="644"/>
      <c r="K20" s="644"/>
      <c r="L20" s="644"/>
      <c r="M20" s="644"/>
      <c r="N20" s="644"/>
      <c r="O20" s="644"/>
      <c r="P20" s="644"/>
      <c r="Q20" s="644"/>
      <c r="R20" s="644"/>
      <c r="S20" s="644"/>
      <c r="T20" s="644"/>
      <c r="U20" s="644"/>
      <c r="V20" s="644"/>
      <c r="W20" s="644"/>
      <c r="X20" s="644"/>
      <c r="Y20" s="644"/>
      <c r="Z20" s="644"/>
      <c r="AA20" s="644"/>
      <c r="AB20" s="644"/>
      <c r="AC20" s="644"/>
      <c r="AD20" s="644"/>
      <c r="AE20" s="644"/>
      <c r="AF20" s="204">
        <f t="shared" si="5"/>
        <v>0</v>
      </c>
      <c r="AH20" s="206">
        <f t="shared" si="1"/>
        <v>11.373383640089155</v>
      </c>
    </row>
    <row r="21" spans="2:35" x14ac:dyDescent="0.2">
      <c r="B21" s="252">
        <f t="shared" si="3"/>
        <v>1.3750000000000004</v>
      </c>
      <c r="C21" s="200">
        <f t="shared" si="4"/>
        <v>1.4166666666666672</v>
      </c>
      <c r="D21" s="271">
        <f t="shared" si="2"/>
        <v>10</v>
      </c>
      <c r="E21" s="202" t="s">
        <v>340</v>
      </c>
      <c r="F21" s="203" t="s">
        <v>358</v>
      </c>
      <c r="G21" s="644">
        <v>0</v>
      </c>
      <c r="H21" s="644"/>
      <c r="I21" s="644"/>
      <c r="J21" s="644"/>
      <c r="K21" s="644"/>
      <c r="L21" s="644"/>
      <c r="M21" s="644"/>
      <c r="N21" s="644"/>
      <c r="O21" s="644"/>
      <c r="P21" s="644"/>
      <c r="Q21" s="644"/>
      <c r="R21" s="644"/>
      <c r="S21" s="644"/>
      <c r="T21" s="644"/>
      <c r="U21" s="644"/>
      <c r="V21" s="644"/>
      <c r="W21" s="644"/>
      <c r="X21" s="644"/>
      <c r="Y21" s="644"/>
      <c r="Z21" s="644"/>
      <c r="AA21" s="644"/>
      <c r="AB21" s="644"/>
      <c r="AC21" s="644"/>
      <c r="AD21" s="644"/>
      <c r="AE21" s="644"/>
      <c r="AF21" s="204">
        <f t="shared" si="5"/>
        <v>0</v>
      </c>
      <c r="AH21" s="206">
        <f t="shared" si="1"/>
        <v>12.617742179400011</v>
      </c>
    </row>
    <row r="22" spans="2:35" x14ac:dyDescent="0.2">
      <c r="B22" s="252">
        <f t="shared" si="3"/>
        <v>1.4166666666666672</v>
      </c>
      <c r="C22" s="200">
        <f t="shared" si="4"/>
        <v>1.4583333333333339</v>
      </c>
      <c r="D22" s="271">
        <f t="shared" si="2"/>
        <v>11</v>
      </c>
      <c r="E22" s="202" t="s">
        <v>340</v>
      </c>
      <c r="F22" s="203" t="s">
        <v>358</v>
      </c>
      <c r="G22" s="644">
        <v>0</v>
      </c>
      <c r="H22" s="644"/>
      <c r="I22" s="644"/>
      <c r="J22" s="644"/>
      <c r="K22" s="644"/>
      <c r="L22" s="644"/>
      <c r="M22" s="644"/>
      <c r="N22" s="644"/>
      <c r="O22" s="644"/>
      <c r="P22" s="644"/>
      <c r="Q22" s="644"/>
      <c r="R22" s="644"/>
      <c r="S22" s="644"/>
      <c r="T22" s="644"/>
      <c r="U22" s="644"/>
      <c r="V22" s="644"/>
      <c r="W22" s="644"/>
      <c r="X22" s="644"/>
      <c r="Y22" s="644"/>
      <c r="Z22" s="644"/>
      <c r="AA22" s="644"/>
      <c r="AB22" s="644"/>
      <c r="AC22" s="644"/>
      <c r="AD22" s="644"/>
      <c r="AE22" s="644"/>
      <c r="AF22" s="204">
        <f t="shared" si="5"/>
        <v>0</v>
      </c>
      <c r="AH22" s="206">
        <f t="shared" si="1"/>
        <v>13.755441298197979</v>
      </c>
    </row>
    <row r="23" spans="2:35" x14ac:dyDescent="0.2">
      <c r="B23" s="252">
        <f t="shared" si="3"/>
        <v>1.4583333333333339</v>
      </c>
      <c r="C23" s="200">
        <f t="shared" si="4"/>
        <v>1.5000000000000007</v>
      </c>
      <c r="D23" s="271">
        <f t="shared" si="2"/>
        <v>12</v>
      </c>
      <c r="E23" s="202" t="s">
        <v>340</v>
      </c>
      <c r="F23" s="203" t="s">
        <v>358</v>
      </c>
      <c r="G23" s="644">
        <v>0</v>
      </c>
      <c r="H23" s="644"/>
      <c r="I23" s="644"/>
      <c r="J23" s="644"/>
      <c r="K23" s="644"/>
      <c r="L23" s="644"/>
      <c r="M23" s="644"/>
      <c r="N23" s="644"/>
      <c r="O23" s="644"/>
      <c r="P23" s="644"/>
      <c r="Q23" s="644"/>
      <c r="R23" s="644"/>
      <c r="S23" s="644"/>
      <c r="T23" s="644"/>
      <c r="U23" s="644"/>
      <c r="V23" s="644"/>
      <c r="W23" s="644"/>
      <c r="X23" s="644"/>
      <c r="Y23" s="644"/>
      <c r="Z23" s="644"/>
      <c r="AA23" s="644"/>
      <c r="AB23" s="644"/>
      <c r="AC23" s="644"/>
      <c r="AD23" s="644"/>
      <c r="AE23" s="644"/>
      <c r="AF23" s="204">
        <f t="shared" si="5"/>
        <v>0</v>
      </c>
      <c r="AH23" s="206">
        <f t="shared" si="1"/>
        <v>14.578945051778357</v>
      </c>
    </row>
    <row r="24" spans="2:35" x14ac:dyDescent="0.2">
      <c r="B24" s="252">
        <f t="shared" si="3"/>
        <v>1.5000000000000007</v>
      </c>
      <c r="C24" s="200">
        <f t="shared" si="4"/>
        <v>1.5416666666666674</v>
      </c>
      <c r="D24" s="271">
        <f t="shared" si="2"/>
        <v>13</v>
      </c>
      <c r="E24" s="202" t="s">
        <v>340</v>
      </c>
      <c r="F24" s="203" t="s">
        <v>358</v>
      </c>
      <c r="G24" s="644">
        <v>0</v>
      </c>
      <c r="H24" s="644"/>
      <c r="I24" s="644"/>
      <c r="J24" s="644"/>
      <c r="K24" s="644"/>
      <c r="L24" s="644"/>
      <c r="M24" s="644"/>
      <c r="N24" s="644"/>
      <c r="O24" s="644"/>
      <c r="P24" s="644"/>
      <c r="Q24" s="644"/>
      <c r="R24" s="644"/>
      <c r="S24" s="644"/>
      <c r="T24" s="644"/>
      <c r="U24" s="644"/>
      <c r="V24" s="644"/>
      <c r="W24" s="644"/>
      <c r="X24" s="644"/>
      <c r="Y24" s="644"/>
      <c r="Z24" s="644"/>
      <c r="AA24" s="644"/>
      <c r="AB24" s="644"/>
      <c r="AC24" s="644"/>
      <c r="AD24" s="644"/>
      <c r="AE24" s="644"/>
      <c r="AF24" s="204">
        <f t="shared" si="5"/>
        <v>0</v>
      </c>
      <c r="AH24" s="206">
        <f t="shared" si="1"/>
        <v>14.647967072103235</v>
      </c>
    </row>
    <row r="25" spans="2:35" x14ac:dyDescent="0.2">
      <c r="B25" s="252">
        <f t="shared" si="3"/>
        <v>1.5416666666666674</v>
      </c>
      <c r="C25" s="200">
        <f t="shared" si="4"/>
        <v>1.5833333333333341</v>
      </c>
      <c r="D25" s="271">
        <f t="shared" si="2"/>
        <v>14</v>
      </c>
      <c r="E25" s="202" t="s">
        <v>340</v>
      </c>
      <c r="F25" s="203" t="s">
        <v>358</v>
      </c>
      <c r="G25" s="644">
        <v>0</v>
      </c>
      <c r="H25" s="644"/>
      <c r="I25" s="644"/>
      <c r="J25" s="644"/>
      <c r="K25" s="644"/>
      <c r="L25" s="644"/>
      <c r="M25" s="644"/>
      <c r="N25" s="644"/>
      <c r="O25" s="644"/>
      <c r="P25" s="644"/>
      <c r="Q25" s="644"/>
      <c r="R25" s="644"/>
      <c r="S25" s="644"/>
      <c r="T25" s="644"/>
      <c r="U25" s="644"/>
      <c r="V25" s="644"/>
      <c r="W25" s="644"/>
      <c r="X25" s="644"/>
      <c r="Y25" s="644"/>
      <c r="Z25" s="644"/>
      <c r="AA25" s="644"/>
      <c r="AB25" s="644"/>
      <c r="AC25" s="644"/>
      <c r="AD25" s="644"/>
      <c r="AE25" s="644"/>
      <c r="AF25" s="204">
        <f t="shared" si="5"/>
        <v>0</v>
      </c>
      <c r="AH25" s="206">
        <f t="shared" si="1"/>
        <v>12.59315288420852</v>
      </c>
    </row>
    <row r="26" spans="2:35" x14ac:dyDescent="0.2">
      <c r="B26" s="252">
        <f t="shared" si="3"/>
        <v>1.5833333333333341</v>
      </c>
      <c r="C26" s="200">
        <f t="shared" si="4"/>
        <v>1.6250000000000009</v>
      </c>
      <c r="D26" s="271">
        <f t="shared" si="2"/>
        <v>15</v>
      </c>
      <c r="E26" s="202" t="s">
        <v>340</v>
      </c>
      <c r="F26" s="203" t="s">
        <v>358</v>
      </c>
      <c r="G26" s="644">
        <v>0</v>
      </c>
      <c r="H26" s="644"/>
      <c r="I26" s="644"/>
      <c r="J26" s="644"/>
      <c r="K26" s="644"/>
      <c r="L26" s="644"/>
      <c r="M26" s="644"/>
      <c r="N26" s="644"/>
      <c r="O26" s="644"/>
      <c r="P26" s="644"/>
      <c r="Q26" s="644"/>
      <c r="R26" s="644"/>
      <c r="S26" s="644"/>
      <c r="T26" s="644"/>
      <c r="U26" s="644"/>
      <c r="V26" s="644"/>
      <c r="W26" s="644"/>
      <c r="X26" s="644"/>
      <c r="Y26" s="644"/>
      <c r="Z26" s="644"/>
      <c r="AA26" s="644"/>
      <c r="AB26" s="644"/>
      <c r="AC26" s="644"/>
      <c r="AD26" s="644"/>
      <c r="AE26" s="644"/>
      <c r="AF26" s="204">
        <f t="shared" si="5"/>
        <v>0</v>
      </c>
      <c r="AH26" s="206">
        <f t="shared" si="1"/>
        <v>14.128191067883698</v>
      </c>
    </row>
    <row r="27" spans="2:35" x14ac:dyDescent="0.2">
      <c r="B27" s="252">
        <f t="shared" si="3"/>
        <v>1.6250000000000009</v>
      </c>
      <c r="C27" s="200">
        <f t="shared" si="4"/>
        <v>1.6666666666666676</v>
      </c>
      <c r="D27" s="271">
        <f t="shared" si="2"/>
        <v>16</v>
      </c>
      <c r="E27" s="202" t="s">
        <v>340</v>
      </c>
      <c r="F27" s="203" t="s">
        <v>358</v>
      </c>
      <c r="G27" s="644">
        <v>0</v>
      </c>
      <c r="H27" s="644"/>
      <c r="I27" s="644"/>
      <c r="J27" s="644"/>
      <c r="K27" s="644"/>
      <c r="L27" s="644"/>
      <c r="M27" s="644"/>
      <c r="N27" s="644"/>
      <c r="O27" s="644"/>
      <c r="P27" s="644"/>
      <c r="Q27" s="644"/>
      <c r="R27" s="644"/>
      <c r="S27" s="644"/>
      <c r="T27" s="644"/>
      <c r="U27" s="644"/>
      <c r="V27" s="644"/>
      <c r="W27" s="644"/>
      <c r="X27" s="644"/>
      <c r="Y27" s="644"/>
      <c r="Z27" s="644"/>
      <c r="AA27" s="644"/>
      <c r="AB27" s="644"/>
      <c r="AC27" s="644"/>
      <c r="AD27" s="644"/>
      <c r="AE27" s="644"/>
      <c r="AF27" s="204">
        <f t="shared" si="5"/>
        <v>0</v>
      </c>
      <c r="AH27" s="206">
        <f t="shared" si="1"/>
        <v>14.15964268139178</v>
      </c>
    </row>
    <row r="28" spans="2:35" x14ac:dyDescent="0.2">
      <c r="B28" s="252">
        <f t="shared" si="3"/>
        <v>1.6666666666666676</v>
      </c>
      <c r="C28" s="200">
        <f t="shared" si="4"/>
        <v>1.7083333333333344</v>
      </c>
      <c r="D28" s="271">
        <f t="shared" si="2"/>
        <v>17</v>
      </c>
      <c r="E28" s="202" t="s">
        <v>340</v>
      </c>
      <c r="F28" s="203" t="s">
        <v>358</v>
      </c>
      <c r="G28" s="644">
        <v>0</v>
      </c>
      <c r="H28" s="644"/>
      <c r="I28" s="644"/>
      <c r="J28" s="644"/>
      <c r="K28" s="644"/>
      <c r="L28" s="644"/>
      <c r="M28" s="644"/>
      <c r="N28" s="644"/>
      <c r="O28" s="644"/>
      <c r="P28" s="644"/>
      <c r="Q28" s="644"/>
      <c r="R28" s="644"/>
      <c r="S28" s="644"/>
      <c r="T28" s="644"/>
      <c r="U28" s="644"/>
      <c r="V28" s="644"/>
      <c r="W28" s="644"/>
      <c r="X28" s="644"/>
      <c r="Y28" s="644"/>
      <c r="Z28" s="644"/>
      <c r="AA28" s="644"/>
      <c r="AB28" s="644"/>
      <c r="AC28" s="644"/>
      <c r="AD28" s="644"/>
      <c r="AE28" s="644"/>
      <c r="AF28" s="204">
        <f t="shared" si="5"/>
        <v>0</v>
      </c>
      <c r="AH28" s="206">
        <f t="shared" si="1"/>
        <v>13.715867828055345</v>
      </c>
    </row>
    <row r="29" spans="2:35" ht="12.75" thickBot="1" x14ac:dyDescent="0.25">
      <c r="B29" s="252">
        <f t="shared" si="3"/>
        <v>1.7083333333333344</v>
      </c>
      <c r="C29" s="200">
        <f t="shared" si="4"/>
        <v>1.7500000000000011</v>
      </c>
      <c r="D29" s="271">
        <f t="shared" si="2"/>
        <v>18</v>
      </c>
      <c r="E29" s="202" t="s">
        <v>361</v>
      </c>
      <c r="F29" s="203" t="s">
        <v>358</v>
      </c>
      <c r="G29" s="644">
        <v>2.6330659709012699E-2</v>
      </c>
      <c r="H29" s="644"/>
      <c r="I29" s="644"/>
      <c r="J29" s="644"/>
      <c r="K29" s="644"/>
      <c r="L29" s="644"/>
      <c r="M29" s="644"/>
      <c r="N29" s="644"/>
      <c r="O29" s="644"/>
      <c r="P29" s="644"/>
      <c r="Q29" s="644"/>
      <c r="R29" s="644"/>
      <c r="S29" s="644"/>
      <c r="T29" s="644"/>
      <c r="U29" s="644"/>
      <c r="V29" s="644"/>
      <c r="W29" s="644"/>
      <c r="X29" s="644"/>
      <c r="Y29" s="644"/>
      <c r="Z29" s="644"/>
      <c r="AA29" s="644"/>
      <c r="AB29" s="644"/>
      <c r="AC29" s="644"/>
      <c r="AD29" s="644"/>
      <c r="AE29" s="644"/>
      <c r="AF29" s="204">
        <f t="shared" si="5"/>
        <v>2.6330659709012699E-2</v>
      </c>
      <c r="AH29" s="207">
        <f t="shared" si="1"/>
        <v>15.775825497143931</v>
      </c>
    </row>
    <row r="30" spans="2:35" x14ac:dyDescent="0.2">
      <c r="B30" s="205"/>
      <c r="C30" s="205" t="s">
        <v>622</v>
      </c>
      <c r="D30" s="205"/>
      <c r="E30" s="205"/>
      <c r="F30" s="205" t="s">
        <v>356</v>
      </c>
      <c r="G30" s="206">
        <f>MAX(G6:G8)</f>
        <v>1.4782784665202799</v>
      </c>
      <c r="H30" s="206">
        <f t="shared" ref="H30:AF30" si="6">MAX(H6:H8)</f>
        <v>0</v>
      </c>
      <c r="I30" s="206">
        <f t="shared" si="6"/>
        <v>0</v>
      </c>
      <c r="J30" s="206">
        <f t="shared" si="6"/>
        <v>0</v>
      </c>
      <c r="K30" s="206">
        <f t="shared" si="6"/>
        <v>0</v>
      </c>
      <c r="L30" s="206">
        <f t="shared" si="6"/>
        <v>0</v>
      </c>
      <c r="M30" s="206">
        <f t="shared" si="6"/>
        <v>0</v>
      </c>
      <c r="N30" s="206">
        <f t="shared" si="6"/>
        <v>0</v>
      </c>
      <c r="O30" s="206">
        <f t="shared" si="6"/>
        <v>0</v>
      </c>
      <c r="P30" s="206">
        <f t="shared" si="6"/>
        <v>0</v>
      </c>
      <c r="Q30" s="206">
        <f t="shared" si="6"/>
        <v>0</v>
      </c>
      <c r="R30" s="206">
        <f t="shared" si="6"/>
        <v>0</v>
      </c>
      <c r="S30" s="206">
        <f t="shared" si="6"/>
        <v>0</v>
      </c>
      <c r="T30" s="206">
        <f t="shared" si="6"/>
        <v>0</v>
      </c>
      <c r="U30" s="206">
        <f t="shared" si="6"/>
        <v>0</v>
      </c>
      <c r="V30" s="206">
        <f t="shared" si="6"/>
        <v>0</v>
      </c>
      <c r="W30" s="206">
        <f t="shared" si="6"/>
        <v>0</v>
      </c>
      <c r="X30" s="206">
        <f t="shared" si="6"/>
        <v>0</v>
      </c>
      <c r="Y30" s="206">
        <f t="shared" si="6"/>
        <v>0</v>
      </c>
      <c r="Z30" s="206">
        <f t="shared" si="6"/>
        <v>0</v>
      </c>
      <c r="AA30" s="206">
        <f t="shared" si="6"/>
        <v>0</v>
      </c>
      <c r="AB30" s="206">
        <f t="shared" si="6"/>
        <v>0</v>
      </c>
      <c r="AC30" s="206">
        <f t="shared" si="6"/>
        <v>0</v>
      </c>
      <c r="AD30" s="206">
        <f t="shared" si="6"/>
        <v>0</v>
      </c>
      <c r="AE30" s="206">
        <f t="shared" si="6"/>
        <v>0</v>
      </c>
      <c r="AF30" s="206">
        <f t="shared" si="6"/>
        <v>1.4782784665202799</v>
      </c>
      <c r="AH30" s="210">
        <f t="shared" ref="AH30" si="7">MAX(AH6:AH8)</f>
        <v>21.277952513427746</v>
      </c>
      <c r="AI30" s="208">
        <f>SUM(G30:AE30,G64:AE64,G98:AE98,G132:AE132,G166:AE166,G200:AE200,G234:AE234)</f>
        <v>23.459918021368289</v>
      </c>
    </row>
    <row r="31" spans="2:35" ht="12.75" thickBot="1" x14ac:dyDescent="0.25">
      <c r="B31" s="205"/>
      <c r="C31" s="205" t="s">
        <v>622</v>
      </c>
      <c r="D31" s="205"/>
      <c r="E31" s="205"/>
      <c r="F31" s="205" t="s">
        <v>358</v>
      </c>
      <c r="G31" s="206">
        <f>MAX(G9:G29)</f>
        <v>1.4782784665202799</v>
      </c>
      <c r="H31" s="206">
        <f t="shared" ref="H31:AF31" si="8">MAX(H9:H29)</f>
        <v>0</v>
      </c>
      <c r="I31" s="206">
        <f t="shared" si="8"/>
        <v>0</v>
      </c>
      <c r="J31" s="206">
        <f t="shared" si="8"/>
        <v>0</v>
      </c>
      <c r="K31" s="206">
        <f t="shared" si="8"/>
        <v>0</v>
      </c>
      <c r="L31" s="206">
        <f t="shared" si="8"/>
        <v>0</v>
      </c>
      <c r="M31" s="206">
        <f t="shared" si="8"/>
        <v>0</v>
      </c>
      <c r="N31" s="206">
        <f t="shared" si="8"/>
        <v>0</v>
      </c>
      <c r="O31" s="206">
        <f t="shared" si="8"/>
        <v>0</v>
      </c>
      <c r="P31" s="206">
        <f t="shared" si="8"/>
        <v>0</v>
      </c>
      <c r="Q31" s="206">
        <f t="shared" si="8"/>
        <v>0</v>
      </c>
      <c r="R31" s="206">
        <f t="shared" si="8"/>
        <v>0</v>
      </c>
      <c r="S31" s="206">
        <f t="shared" si="8"/>
        <v>0</v>
      </c>
      <c r="T31" s="206">
        <f t="shared" si="8"/>
        <v>0</v>
      </c>
      <c r="U31" s="206">
        <f t="shared" si="8"/>
        <v>0</v>
      </c>
      <c r="V31" s="206">
        <f t="shared" si="8"/>
        <v>0</v>
      </c>
      <c r="W31" s="206">
        <f t="shared" si="8"/>
        <v>0</v>
      </c>
      <c r="X31" s="206">
        <f t="shared" si="8"/>
        <v>0</v>
      </c>
      <c r="Y31" s="206">
        <f t="shared" si="8"/>
        <v>0</v>
      </c>
      <c r="Z31" s="206">
        <f t="shared" si="8"/>
        <v>0</v>
      </c>
      <c r="AA31" s="206">
        <f t="shared" si="8"/>
        <v>0</v>
      </c>
      <c r="AB31" s="206">
        <f t="shared" si="8"/>
        <v>0</v>
      </c>
      <c r="AC31" s="206">
        <f t="shared" si="8"/>
        <v>0</v>
      </c>
      <c r="AD31" s="206">
        <f t="shared" si="8"/>
        <v>0</v>
      </c>
      <c r="AE31" s="206">
        <f t="shared" si="8"/>
        <v>0</v>
      </c>
      <c r="AF31" s="206">
        <f t="shared" si="8"/>
        <v>1.4782784665202799</v>
      </c>
      <c r="AH31" s="211">
        <f t="shared" ref="AH31" si="9">MAX(AH9:AH29)</f>
        <v>17.433349252646376</v>
      </c>
      <c r="AI31" s="209">
        <f>SUM(G31:AE31,G65:AE65,G99:AE99,G133:AE133,G167:AE167,G201:AE201,G235:AE235)</f>
        <v>27.188963674448555</v>
      </c>
    </row>
    <row r="32" spans="2:35" x14ac:dyDescent="0.2">
      <c r="B32" s="205"/>
      <c r="C32" s="205"/>
      <c r="D32" s="205"/>
      <c r="E32" s="205"/>
      <c r="F32" s="205" t="s">
        <v>710</v>
      </c>
      <c r="G32" s="645">
        <v>1</v>
      </c>
      <c r="H32" s="645"/>
      <c r="I32" s="645"/>
      <c r="J32" s="645"/>
      <c r="K32" s="645"/>
      <c r="L32" s="645"/>
      <c r="M32" s="645"/>
      <c r="N32" s="645"/>
      <c r="O32" s="645"/>
      <c r="P32" s="645"/>
      <c r="Q32" s="645"/>
      <c r="R32" s="645"/>
      <c r="S32" s="645"/>
      <c r="T32" s="645"/>
      <c r="U32" s="645"/>
      <c r="V32" s="645"/>
      <c r="W32" s="645"/>
      <c r="X32" s="645"/>
      <c r="Y32" s="645"/>
      <c r="Z32" s="645"/>
      <c r="AA32" s="645"/>
      <c r="AB32" s="645"/>
      <c r="AC32" s="645"/>
      <c r="AD32" s="645"/>
      <c r="AE32" s="645"/>
      <c r="AF32" s="270"/>
      <c r="AH32" s="270"/>
      <c r="AI32" s="270"/>
    </row>
    <row r="33" spans="2:35" x14ac:dyDescent="0.2">
      <c r="B33" s="205"/>
      <c r="C33" s="205"/>
      <c r="D33" s="205"/>
      <c r="E33" s="205"/>
      <c r="F33" s="205" t="s">
        <v>702</v>
      </c>
      <c r="G33" s="645">
        <v>1</v>
      </c>
      <c r="H33" s="645"/>
      <c r="I33" s="645"/>
      <c r="J33" s="645"/>
      <c r="K33" s="645"/>
      <c r="L33" s="645"/>
      <c r="M33" s="645"/>
      <c r="N33" s="645"/>
      <c r="O33" s="645"/>
      <c r="P33" s="645"/>
      <c r="Q33" s="645"/>
      <c r="R33" s="645"/>
      <c r="S33" s="645"/>
      <c r="T33" s="645"/>
      <c r="U33" s="645"/>
      <c r="V33" s="645"/>
      <c r="W33" s="645"/>
      <c r="X33" s="645"/>
      <c r="Y33" s="645"/>
      <c r="Z33" s="645"/>
      <c r="AA33" s="645"/>
      <c r="AB33" s="645"/>
      <c r="AC33" s="645"/>
      <c r="AD33" s="645"/>
      <c r="AE33" s="645"/>
      <c r="AF33" s="270"/>
      <c r="AH33" s="270"/>
      <c r="AI33" s="270"/>
    </row>
    <row r="34" spans="2:35" x14ac:dyDescent="0.2">
      <c r="B34" s="205"/>
      <c r="C34" s="205"/>
      <c r="D34" s="205"/>
      <c r="E34" s="205"/>
      <c r="F34" s="205" t="s">
        <v>711</v>
      </c>
      <c r="G34" s="645">
        <v>6278.527</v>
      </c>
      <c r="H34" s="645"/>
      <c r="I34" s="645"/>
      <c r="J34" s="645"/>
      <c r="K34" s="645"/>
      <c r="L34" s="645"/>
      <c r="M34" s="645"/>
      <c r="N34" s="645"/>
      <c r="O34" s="645"/>
      <c r="P34" s="645"/>
      <c r="Q34" s="645"/>
      <c r="R34" s="645"/>
      <c r="S34" s="645"/>
      <c r="T34" s="645"/>
      <c r="U34" s="645"/>
      <c r="V34" s="645"/>
      <c r="W34" s="645"/>
      <c r="X34" s="645"/>
      <c r="Y34" s="645"/>
      <c r="Z34" s="645"/>
      <c r="AA34" s="645"/>
      <c r="AB34" s="645"/>
      <c r="AC34" s="645"/>
      <c r="AD34" s="645"/>
      <c r="AE34" s="645"/>
      <c r="AF34" s="270"/>
      <c r="AH34" s="270"/>
      <c r="AI34" s="270"/>
    </row>
    <row r="36" spans="2:35" x14ac:dyDescent="0.2">
      <c r="B36" s="803" t="s">
        <v>623</v>
      </c>
      <c r="C36" s="804"/>
      <c r="D36" s="800"/>
      <c r="E36" s="801"/>
      <c r="F36" s="802"/>
      <c r="G36" s="196" t="s">
        <v>624</v>
      </c>
      <c r="H36" s="196" t="s">
        <v>624</v>
      </c>
      <c r="I36" s="196" t="s">
        <v>624</v>
      </c>
      <c r="J36" s="196" t="s">
        <v>624</v>
      </c>
      <c r="K36" s="196" t="s">
        <v>624</v>
      </c>
      <c r="L36" s="196" t="s">
        <v>624</v>
      </c>
      <c r="M36" s="196" t="s">
        <v>624</v>
      </c>
      <c r="N36" s="196" t="s">
        <v>624</v>
      </c>
      <c r="O36" s="196" t="s">
        <v>624</v>
      </c>
      <c r="P36" s="196" t="s">
        <v>624</v>
      </c>
      <c r="Q36" s="196" t="s">
        <v>624</v>
      </c>
      <c r="R36" s="196" t="s">
        <v>624</v>
      </c>
      <c r="S36" s="196" t="s">
        <v>624</v>
      </c>
      <c r="T36" s="196" t="s">
        <v>624</v>
      </c>
      <c r="U36" s="196" t="s">
        <v>624</v>
      </c>
      <c r="V36" s="196" t="s">
        <v>624</v>
      </c>
      <c r="W36" s="196" t="s">
        <v>624</v>
      </c>
      <c r="X36" s="196" t="s">
        <v>624</v>
      </c>
      <c r="Y36" s="196" t="s">
        <v>624</v>
      </c>
      <c r="Z36" s="196" t="s">
        <v>624</v>
      </c>
      <c r="AA36" s="196" t="s">
        <v>624</v>
      </c>
      <c r="AB36" s="196" t="s">
        <v>624</v>
      </c>
      <c r="AC36" s="196" t="s">
        <v>624</v>
      </c>
      <c r="AD36" s="196" t="s">
        <v>624</v>
      </c>
      <c r="AE36" s="196" t="s">
        <v>624</v>
      </c>
      <c r="AF36" s="197"/>
    </row>
    <row r="37" spans="2:35" x14ac:dyDescent="0.2">
      <c r="B37" s="803" t="s">
        <v>20</v>
      </c>
      <c r="C37" s="804"/>
      <c r="D37" s="390"/>
      <c r="E37" s="391"/>
      <c r="F37" s="392"/>
      <c r="G37" s="196">
        <v>1</v>
      </c>
      <c r="H37" s="196">
        <v>2</v>
      </c>
      <c r="I37" s="196">
        <v>3</v>
      </c>
      <c r="J37" s="196">
        <v>4</v>
      </c>
      <c r="K37" s="196">
        <v>5</v>
      </c>
      <c r="L37" s="196">
        <v>6</v>
      </c>
      <c r="M37" s="196">
        <v>7</v>
      </c>
      <c r="N37" s="196">
        <v>8</v>
      </c>
      <c r="O37" s="196">
        <v>9</v>
      </c>
      <c r="P37" s="196">
        <v>10</v>
      </c>
      <c r="Q37" s="196">
        <v>11</v>
      </c>
      <c r="R37" s="196">
        <v>12</v>
      </c>
      <c r="S37" s="196">
        <v>13</v>
      </c>
      <c r="T37" s="196">
        <v>14</v>
      </c>
      <c r="U37" s="196">
        <v>15</v>
      </c>
      <c r="V37" s="196">
        <v>16</v>
      </c>
      <c r="W37" s="196">
        <v>17</v>
      </c>
      <c r="X37" s="196">
        <v>18</v>
      </c>
      <c r="Y37" s="196">
        <v>19</v>
      </c>
      <c r="Z37" s="196">
        <v>20</v>
      </c>
      <c r="AA37" s="196">
        <v>21</v>
      </c>
      <c r="AB37" s="196">
        <v>22</v>
      </c>
      <c r="AC37" s="196">
        <v>23</v>
      </c>
      <c r="AD37" s="196">
        <v>24</v>
      </c>
      <c r="AE37" s="196">
        <v>25</v>
      </c>
      <c r="AF37" s="197" t="s">
        <v>620</v>
      </c>
    </row>
    <row r="38" spans="2:35" x14ac:dyDescent="0.2">
      <c r="B38" s="803"/>
      <c r="C38" s="804"/>
      <c r="D38" s="800" t="s">
        <v>48</v>
      </c>
      <c r="E38" s="801"/>
      <c r="F38" s="802"/>
      <c r="G38" s="196" t="s">
        <v>357</v>
      </c>
      <c r="H38" s="196" t="s">
        <v>363</v>
      </c>
      <c r="I38" s="196" t="s">
        <v>364</v>
      </c>
      <c r="J38" s="196" t="s">
        <v>365</v>
      </c>
      <c r="K38" s="196" t="s">
        <v>366</v>
      </c>
      <c r="L38" s="196" t="s">
        <v>367</v>
      </c>
      <c r="M38" s="196" t="s">
        <v>368</v>
      </c>
      <c r="N38" s="196" t="s">
        <v>369</v>
      </c>
      <c r="O38" s="196" t="s">
        <v>370</v>
      </c>
      <c r="P38" s="196" t="s">
        <v>371</v>
      </c>
      <c r="Q38" s="196" t="s">
        <v>372</v>
      </c>
      <c r="R38" s="196" t="s">
        <v>373</v>
      </c>
      <c r="S38" s="196" t="s">
        <v>374</v>
      </c>
      <c r="T38" s="196" t="s">
        <v>375</v>
      </c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7"/>
    </row>
    <row r="39" spans="2:35" x14ac:dyDescent="0.2">
      <c r="B39" s="803" t="s">
        <v>47</v>
      </c>
      <c r="C39" s="804"/>
      <c r="D39" s="390"/>
      <c r="E39" s="391" t="s">
        <v>360</v>
      </c>
      <c r="F39" s="392"/>
      <c r="G39" s="198" t="s">
        <v>343</v>
      </c>
      <c r="H39" s="198" t="s">
        <v>343</v>
      </c>
      <c r="I39" s="198" t="s">
        <v>343</v>
      </c>
      <c r="J39" s="198" t="s">
        <v>343</v>
      </c>
      <c r="K39" s="198" t="s">
        <v>343</v>
      </c>
      <c r="L39" s="198" t="s">
        <v>343</v>
      </c>
      <c r="M39" s="198" t="s">
        <v>343</v>
      </c>
      <c r="N39" s="198" t="s">
        <v>343</v>
      </c>
      <c r="O39" s="198" t="s">
        <v>343</v>
      </c>
      <c r="P39" s="198" t="s">
        <v>343</v>
      </c>
      <c r="Q39" s="198" t="s">
        <v>343</v>
      </c>
      <c r="R39" s="198" t="s">
        <v>343</v>
      </c>
      <c r="S39" s="198" t="s">
        <v>343</v>
      </c>
      <c r="T39" s="198" t="s">
        <v>343</v>
      </c>
      <c r="U39" s="198" t="s">
        <v>343</v>
      </c>
      <c r="V39" s="198" t="s">
        <v>343</v>
      </c>
      <c r="W39" s="198" t="s">
        <v>343</v>
      </c>
      <c r="X39" s="198" t="s">
        <v>343</v>
      </c>
      <c r="Y39" s="198" t="s">
        <v>343</v>
      </c>
      <c r="Z39" s="198" t="s">
        <v>343</v>
      </c>
      <c r="AA39" s="198" t="s">
        <v>343</v>
      </c>
      <c r="AB39" s="198" t="s">
        <v>343</v>
      </c>
      <c r="AC39" s="198" t="s">
        <v>343</v>
      </c>
      <c r="AD39" s="198" t="s">
        <v>343</v>
      </c>
      <c r="AE39" s="198" t="s">
        <v>343</v>
      </c>
      <c r="AF39" s="199" t="s">
        <v>343</v>
      </c>
    </row>
    <row r="40" spans="2:35" x14ac:dyDescent="0.2">
      <c r="B40" s="200">
        <f>'DADOS-Campanha'!$J$23</f>
        <v>0.75</v>
      </c>
      <c r="C40" s="200">
        <f>B40+$C$1</f>
        <v>0.79166666666666663</v>
      </c>
      <c r="D40" s="271">
        <f>HOUR(B40)+HOUR($C$1)</f>
        <v>19</v>
      </c>
      <c r="E40" s="202" t="s">
        <v>339</v>
      </c>
      <c r="F40" s="203" t="s">
        <v>356</v>
      </c>
      <c r="G40" s="644">
        <v>0.65276524130171798</v>
      </c>
      <c r="H40" s="644">
        <v>0.47124618063616303</v>
      </c>
      <c r="I40" s="644">
        <v>7.4826474256843203E-2</v>
      </c>
      <c r="J40" s="644">
        <v>0.30404998609417899</v>
      </c>
      <c r="K40" s="644">
        <v>0.45935301290618102</v>
      </c>
      <c r="L40" s="644">
        <v>0.28817870201130302</v>
      </c>
      <c r="M40" s="644">
        <v>0.15963530259175901</v>
      </c>
      <c r="N40" s="644">
        <v>0.46604086068785999</v>
      </c>
      <c r="O40" s="644">
        <v>0.209802397220095</v>
      </c>
      <c r="P40" s="644">
        <v>1.4413465046722701E-2</v>
      </c>
      <c r="Q40" s="644">
        <v>6.2348531659251701E-2</v>
      </c>
      <c r="R40" s="644">
        <v>4.8000956738457001E-2</v>
      </c>
      <c r="S40" s="644">
        <v>0.13091544395294699</v>
      </c>
      <c r="T40" s="644">
        <v>2.7476182511923901E-2</v>
      </c>
      <c r="U40" s="644"/>
      <c r="V40" s="644"/>
      <c r="W40" s="644"/>
      <c r="X40" s="644"/>
      <c r="Y40" s="644"/>
      <c r="Z40" s="644"/>
      <c r="AA40" s="644"/>
      <c r="AB40" s="644"/>
      <c r="AC40" s="644"/>
      <c r="AD40" s="644"/>
      <c r="AE40" s="644"/>
      <c r="AF40" s="204">
        <f t="shared" ref="AF40:AF49" si="10">SUM(G40:AE40)</f>
        <v>3.3690527376154038</v>
      </c>
    </row>
    <row r="41" spans="2:35" x14ac:dyDescent="0.2">
      <c r="B41" s="200">
        <f>C40</f>
        <v>0.79166666666666663</v>
      </c>
      <c r="C41" s="200">
        <f>B41+$C$1</f>
        <v>0.83333333333333326</v>
      </c>
      <c r="D41" s="271">
        <f t="shared" ref="D41:D63" si="11">HOUR(B41)+HOUR($C$1)</f>
        <v>20</v>
      </c>
      <c r="E41" s="202" t="s">
        <v>339</v>
      </c>
      <c r="F41" s="203" t="s">
        <v>356</v>
      </c>
      <c r="G41" s="644">
        <v>0.420164860510577</v>
      </c>
      <c r="H41" s="644">
        <v>0.37906589446306599</v>
      </c>
      <c r="I41" s="644">
        <v>7.1803764729901895E-2</v>
      </c>
      <c r="J41" s="644">
        <v>0.15245327886562099</v>
      </c>
      <c r="K41" s="644">
        <v>0.43584671048141199</v>
      </c>
      <c r="L41" s="644">
        <v>0.28079077164164001</v>
      </c>
      <c r="M41" s="644">
        <v>0.15322748784527301</v>
      </c>
      <c r="N41" s="644">
        <v>0.45112498343093799</v>
      </c>
      <c r="O41" s="644">
        <v>0.23535129354862899</v>
      </c>
      <c r="P41" s="644">
        <v>9.1406077193444693E-2</v>
      </c>
      <c r="Q41" s="644">
        <v>4.54641868902338E-2</v>
      </c>
      <c r="R41" s="644">
        <v>9.3135692999051403E-2</v>
      </c>
      <c r="S41" s="644">
        <v>0.130833081295537</v>
      </c>
      <c r="T41" s="644">
        <v>2.5590077657238499E-2</v>
      </c>
      <c r="U41" s="644"/>
      <c r="V41" s="644"/>
      <c r="W41" s="644"/>
      <c r="X41" s="644"/>
      <c r="Y41" s="644"/>
      <c r="Z41" s="644"/>
      <c r="AA41" s="644"/>
      <c r="AB41" s="644"/>
      <c r="AC41" s="644"/>
      <c r="AD41" s="644"/>
      <c r="AE41" s="644"/>
      <c r="AF41" s="204">
        <f t="shared" si="10"/>
        <v>2.9662581615525632</v>
      </c>
    </row>
    <row r="42" spans="2:35" x14ac:dyDescent="0.2">
      <c r="B42" s="200">
        <f t="shared" ref="B42:B63" si="12">C41</f>
        <v>0.83333333333333326</v>
      </c>
      <c r="C42" s="200">
        <f t="shared" ref="C42:C63" si="13">B42+$C$1</f>
        <v>0.87499999999999989</v>
      </c>
      <c r="D42" s="271">
        <f t="shared" si="11"/>
        <v>21</v>
      </c>
      <c r="E42" s="202" t="s">
        <v>339</v>
      </c>
      <c r="F42" s="203" t="s">
        <v>356</v>
      </c>
      <c r="G42" s="644">
        <v>0.37579609696389499</v>
      </c>
      <c r="H42" s="644">
        <v>0.27402056120254997</v>
      </c>
      <c r="I42" s="644">
        <v>8.2313239815397996E-2</v>
      </c>
      <c r="J42" s="644">
        <v>0.12912817428715301</v>
      </c>
      <c r="K42" s="644">
        <v>0.378950586742692</v>
      </c>
      <c r="L42" s="644">
        <v>0.27497596802850499</v>
      </c>
      <c r="M42" s="644">
        <v>0.15326866917397799</v>
      </c>
      <c r="N42" s="644">
        <v>0.46562904740081101</v>
      </c>
      <c r="O42" s="644">
        <v>0.20789158356818699</v>
      </c>
      <c r="P42" s="644">
        <v>5.1624914834255603E-2</v>
      </c>
      <c r="Q42" s="644">
        <v>4.4096966777230399E-2</v>
      </c>
      <c r="R42" s="644">
        <v>0.105012388197551</v>
      </c>
      <c r="S42" s="644">
        <v>0.101643755509488</v>
      </c>
      <c r="T42" s="644">
        <v>2.6380759168373E-2</v>
      </c>
      <c r="U42" s="644"/>
      <c r="V42" s="644"/>
      <c r="W42" s="644"/>
      <c r="X42" s="644"/>
      <c r="Y42" s="644"/>
      <c r="Z42" s="644"/>
      <c r="AA42" s="644"/>
      <c r="AB42" s="644"/>
      <c r="AC42" s="644"/>
      <c r="AD42" s="644"/>
      <c r="AE42" s="644"/>
      <c r="AF42" s="204">
        <f t="shared" si="10"/>
        <v>2.670732711670067</v>
      </c>
    </row>
    <row r="43" spans="2:35" x14ac:dyDescent="0.2">
      <c r="B43" s="200">
        <f t="shared" si="12"/>
        <v>0.87499999999999989</v>
      </c>
      <c r="C43" s="200">
        <f t="shared" si="13"/>
        <v>0.91666666666666652</v>
      </c>
      <c r="D43" s="271">
        <f t="shared" si="11"/>
        <v>22</v>
      </c>
      <c r="E43" s="202" t="s">
        <v>361</v>
      </c>
      <c r="F43" s="203" t="s">
        <v>358</v>
      </c>
      <c r="G43" s="644">
        <v>0.36430650625522099</v>
      </c>
      <c r="H43" s="644">
        <v>0.24537482895540699</v>
      </c>
      <c r="I43" s="644">
        <v>6.8748110139996696E-2</v>
      </c>
      <c r="J43" s="644">
        <v>0.12639373406114601</v>
      </c>
      <c r="K43" s="644">
        <v>0.38072138387700299</v>
      </c>
      <c r="L43" s="644">
        <v>0.26734094968661198</v>
      </c>
      <c r="M43" s="644">
        <v>0.14139197397547901</v>
      </c>
      <c r="N43" s="644">
        <v>0.44283930009550798</v>
      </c>
      <c r="O43" s="644">
        <v>0.25193089648523098</v>
      </c>
      <c r="P43" s="644">
        <v>1.9767271731448599E-4</v>
      </c>
      <c r="Q43" s="644">
        <v>3.5102964588075498E-2</v>
      </c>
      <c r="R43" s="644">
        <v>8.4882954726585094E-2</v>
      </c>
      <c r="S43" s="644">
        <v>3.4188739090826203E-2</v>
      </c>
      <c r="T43" s="644">
        <v>1.9124609050565702E-2</v>
      </c>
      <c r="U43" s="644"/>
      <c r="V43" s="644"/>
      <c r="W43" s="644"/>
      <c r="X43" s="644"/>
      <c r="Y43" s="644"/>
      <c r="Z43" s="644"/>
      <c r="AA43" s="644"/>
      <c r="AB43" s="644"/>
      <c r="AC43" s="644"/>
      <c r="AD43" s="644"/>
      <c r="AE43" s="644"/>
      <c r="AF43" s="204">
        <f t="shared" si="10"/>
        <v>2.4625446237049702</v>
      </c>
    </row>
    <row r="44" spans="2:35" x14ac:dyDescent="0.2">
      <c r="B44" s="200">
        <f t="shared" si="12"/>
        <v>0.91666666666666652</v>
      </c>
      <c r="C44" s="200">
        <f t="shared" si="13"/>
        <v>0.95833333333333315</v>
      </c>
      <c r="D44" s="271">
        <f t="shared" si="11"/>
        <v>23</v>
      </c>
      <c r="E44" s="202" t="s">
        <v>340</v>
      </c>
      <c r="F44" s="203" t="s">
        <v>358</v>
      </c>
      <c r="G44" s="644">
        <v>0.34928355754366602</v>
      </c>
      <c r="H44" s="644">
        <v>0.24254155354050799</v>
      </c>
      <c r="I44" s="644">
        <v>6.7405598824216206E-2</v>
      </c>
      <c r="J44" s="644">
        <v>0.12321453548512599</v>
      </c>
      <c r="K44" s="644">
        <v>0.37890116914824601</v>
      </c>
      <c r="L44" s="644">
        <v>0.182779209323925</v>
      </c>
      <c r="M44" s="644">
        <v>0.128650470874176</v>
      </c>
      <c r="N44" s="644">
        <v>0.36971773284704801</v>
      </c>
      <c r="O44" s="644">
        <v>0.22905878652251699</v>
      </c>
      <c r="P44" s="644">
        <v>4.94211037421977E-5</v>
      </c>
      <c r="Q44" s="644">
        <v>3.4724096363990202E-2</v>
      </c>
      <c r="R44" s="644">
        <v>7.4241699389233196E-2</v>
      </c>
      <c r="S44" s="644">
        <v>4.0135322955816899E-2</v>
      </c>
      <c r="T44" s="644">
        <v>1.76338449514476E-2</v>
      </c>
      <c r="U44" s="644"/>
      <c r="V44" s="644"/>
      <c r="W44" s="644"/>
      <c r="X44" s="644"/>
      <c r="Y44" s="644"/>
      <c r="Z44" s="644"/>
      <c r="AA44" s="644"/>
      <c r="AB44" s="644"/>
      <c r="AC44" s="644"/>
      <c r="AD44" s="644"/>
      <c r="AE44" s="644"/>
      <c r="AF44" s="204">
        <f t="shared" si="10"/>
        <v>2.2383369988736588</v>
      </c>
    </row>
    <row r="45" spans="2:35" x14ac:dyDescent="0.2">
      <c r="B45" s="200">
        <f t="shared" si="12"/>
        <v>0.95833333333333315</v>
      </c>
      <c r="C45" s="200">
        <f t="shared" si="13"/>
        <v>0.99999999999999978</v>
      </c>
      <c r="D45" s="271">
        <f t="shared" si="11"/>
        <v>24</v>
      </c>
      <c r="E45" s="202" t="s">
        <v>340</v>
      </c>
      <c r="F45" s="203" t="s">
        <v>358</v>
      </c>
      <c r="G45" s="644">
        <v>0.32858582173657203</v>
      </c>
      <c r="H45" s="644">
        <v>0.19164143126122499</v>
      </c>
      <c r="I45" s="644">
        <v>5.2242633595064002E-2</v>
      </c>
      <c r="J45" s="644">
        <v>0.119755303873913</v>
      </c>
      <c r="K45" s="644">
        <v>0.28134260144628598</v>
      </c>
      <c r="L45" s="644">
        <v>8.1003673562581299E-2</v>
      </c>
      <c r="M45" s="644">
        <v>0.13065188344923601</v>
      </c>
      <c r="N45" s="644">
        <v>0.204424115691233</v>
      </c>
      <c r="O45" s="644">
        <v>0.21415114553133499</v>
      </c>
      <c r="P45" s="644">
        <v>1.9767271731448599E-4</v>
      </c>
      <c r="Q45" s="644">
        <v>3.4674678769544297E-2</v>
      </c>
      <c r="R45" s="644">
        <v>6.7751521985337501E-2</v>
      </c>
      <c r="S45" s="644">
        <v>2.67843361896812E-2</v>
      </c>
      <c r="T45" s="644">
        <v>1.7230267930139299E-2</v>
      </c>
      <c r="U45" s="644"/>
      <c r="V45" s="644"/>
      <c r="W45" s="644"/>
      <c r="X45" s="644"/>
      <c r="Y45" s="644"/>
      <c r="Z45" s="644"/>
      <c r="AA45" s="644"/>
      <c r="AB45" s="644"/>
      <c r="AC45" s="644"/>
      <c r="AD45" s="644"/>
      <c r="AE45" s="644"/>
      <c r="AF45" s="204">
        <f t="shared" si="10"/>
        <v>1.7504370877394619</v>
      </c>
    </row>
    <row r="46" spans="2:35" x14ac:dyDescent="0.2">
      <c r="B46" s="200">
        <f t="shared" si="12"/>
        <v>0.99999999999999978</v>
      </c>
      <c r="C46" s="200">
        <f t="shared" si="13"/>
        <v>1.0416666666666665</v>
      </c>
      <c r="D46" s="271">
        <f t="shared" si="11"/>
        <v>1</v>
      </c>
      <c r="E46" s="202" t="s">
        <v>340</v>
      </c>
      <c r="F46" s="203" t="s">
        <v>358</v>
      </c>
      <c r="G46" s="644">
        <v>0.341384978698062</v>
      </c>
      <c r="H46" s="644">
        <v>0.21402760154521999</v>
      </c>
      <c r="I46" s="644">
        <v>5.6780816018346399E-2</v>
      </c>
      <c r="J46" s="644">
        <v>9.5343012217635303E-2</v>
      </c>
      <c r="K46" s="644">
        <v>0.252976902234335</v>
      </c>
      <c r="L46" s="644">
        <v>6.4086383730599494E-2</v>
      </c>
      <c r="M46" s="644">
        <v>0.116172528276585</v>
      </c>
      <c r="N46" s="644">
        <v>0.13518182960677699</v>
      </c>
      <c r="O46" s="644">
        <v>0.196574954440074</v>
      </c>
      <c r="P46" s="644">
        <v>4.94211037421977E-5</v>
      </c>
      <c r="Q46" s="644">
        <v>3.5300634965859098E-2</v>
      </c>
      <c r="R46" s="644">
        <v>5.1427243286706503E-2</v>
      </c>
      <c r="S46" s="644">
        <v>1.7988004378309899E-2</v>
      </c>
      <c r="T46" s="644">
        <v>3.5325343763082002E-2</v>
      </c>
      <c r="U46" s="644"/>
      <c r="V46" s="644"/>
      <c r="W46" s="644"/>
      <c r="X46" s="644"/>
      <c r="Y46" s="644"/>
      <c r="Z46" s="644"/>
      <c r="AA46" s="644"/>
      <c r="AB46" s="644"/>
      <c r="AC46" s="644"/>
      <c r="AD46" s="644"/>
      <c r="AE46" s="644"/>
      <c r="AF46" s="204">
        <f t="shared" si="10"/>
        <v>1.6126196542653339</v>
      </c>
    </row>
    <row r="47" spans="2:35" x14ac:dyDescent="0.2">
      <c r="B47" s="200">
        <f t="shared" si="12"/>
        <v>1.0416666666666665</v>
      </c>
      <c r="C47" s="200">
        <f t="shared" si="13"/>
        <v>1.0833333333333333</v>
      </c>
      <c r="D47" s="271">
        <f t="shared" si="11"/>
        <v>2</v>
      </c>
      <c r="E47" s="202" t="s">
        <v>340</v>
      </c>
      <c r="F47" s="203" t="s">
        <v>358</v>
      </c>
      <c r="G47" s="644">
        <v>0.33034014633940201</v>
      </c>
      <c r="H47" s="644">
        <v>0.213418117880387</v>
      </c>
      <c r="I47" s="644">
        <v>5.10401387968802E-2</v>
      </c>
      <c r="J47" s="644">
        <v>9.9609397871465194E-2</v>
      </c>
      <c r="K47" s="644">
        <v>0.24134729500806501</v>
      </c>
      <c r="L47" s="644">
        <v>6.1854355714792801E-2</v>
      </c>
      <c r="M47" s="644">
        <v>0.111848488762568</v>
      </c>
      <c r="N47" s="644">
        <v>0.11207086793757499</v>
      </c>
      <c r="O47" s="644">
        <v>0.21264390890073501</v>
      </c>
      <c r="P47" s="644">
        <v>4.94211037421977E-5</v>
      </c>
      <c r="Q47" s="644">
        <v>3.55312504066067E-2</v>
      </c>
      <c r="R47" s="644">
        <v>5.0900122279283498E-2</v>
      </c>
      <c r="S47" s="644">
        <v>1.6991416223650802E-2</v>
      </c>
      <c r="T47" s="644">
        <v>1.531121801249E-2</v>
      </c>
      <c r="U47" s="644"/>
      <c r="V47" s="644"/>
      <c r="W47" s="644"/>
      <c r="X47" s="644"/>
      <c r="Y47" s="644"/>
      <c r="Z47" s="644"/>
      <c r="AA47" s="644"/>
      <c r="AB47" s="644"/>
      <c r="AC47" s="644"/>
      <c r="AD47" s="644"/>
      <c r="AE47" s="644"/>
      <c r="AF47" s="204">
        <f t="shared" si="10"/>
        <v>1.5529561452376435</v>
      </c>
    </row>
    <row r="48" spans="2:35" x14ac:dyDescent="0.2">
      <c r="B48" s="200">
        <f t="shared" si="12"/>
        <v>1.0833333333333333</v>
      </c>
      <c r="C48" s="200">
        <f t="shared" si="13"/>
        <v>1.125</v>
      </c>
      <c r="D48" s="271">
        <f t="shared" si="11"/>
        <v>3</v>
      </c>
      <c r="E48" s="202" t="s">
        <v>340</v>
      </c>
      <c r="F48" s="203" t="s">
        <v>358</v>
      </c>
      <c r="G48" s="644">
        <v>0.337398626079425</v>
      </c>
      <c r="H48" s="644">
        <v>0.222099141971385</v>
      </c>
      <c r="I48" s="644">
        <v>5.6854942410015201E-2</v>
      </c>
      <c r="J48" s="644">
        <v>9.5804243099130507E-2</v>
      </c>
      <c r="K48" s="644">
        <v>0.22096253729912901</v>
      </c>
      <c r="L48" s="644">
        <v>6.3995784807448705E-2</v>
      </c>
      <c r="M48" s="644">
        <v>0.113166291281125</v>
      </c>
      <c r="N48" s="644">
        <v>0.108891669361555</v>
      </c>
      <c r="O48" s="644">
        <v>0.188050419398156</v>
      </c>
      <c r="P48" s="644">
        <v>4.94211037421977E-5</v>
      </c>
      <c r="Q48" s="644">
        <v>3.4905294210291801E-2</v>
      </c>
      <c r="R48" s="644">
        <v>5.8806937390628498E-2</v>
      </c>
      <c r="S48" s="644">
        <v>1.18437501355356E-2</v>
      </c>
      <c r="T48" s="644">
        <v>1.6208970978257301E-2</v>
      </c>
      <c r="U48" s="644"/>
      <c r="V48" s="644"/>
      <c r="W48" s="644"/>
      <c r="X48" s="644"/>
      <c r="Y48" s="644"/>
      <c r="Z48" s="644"/>
      <c r="AA48" s="644"/>
      <c r="AB48" s="644"/>
      <c r="AC48" s="644"/>
      <c r="AD48" s="644"/>
      <c r="AE48" s="644"/>
      <c r="AF48" s="204">
        <f t="shared" si="10"/>
        <v>1.529038029525825</v>
      </c>
    </row>
    <row r="49" spans="2:32" x14ac:dyDescent="0.2">
      <c r="B49" s="200">
        <f t="shared" si="12"/>
        <v>1.125</v>
      </c>
      <c r="C49" s="200">
        <f t="shared" si="13"/>
        <v>1.1666666666666667</v>
      </c>
      <c r="D49" s="271">
        <f t="shared" si="11"/>
        <v>4</v>
      </c>
      <c r="E49" s="202" t="s">
        <v>340</v>
      </c>
      <c r="F49" s="203" t="s">
        <v>358</v>
      </c>
      <c r="G49" s="644">
        <v>0.33790927455536701</v>
      </c>
      <c r="H49" s="644">
        <v>0.21602077785453899</v>
      </c>
      <c r="I49" s="644">
        <v>5.6410184060002103E-2</v>
      </c>
      <c r="J49" s="644">
        <v>9.2822714900893999E-2</v>
      </c>
      <c r="K49" s="644">
        <v>0.240498959636744</v>
      </c>
      <c r="L49" s="644">
        <v>6.11625093925501E-2</v>
      </c>
      <c r="M49" s="644">
        <v>0.11020123561437099</v>
      </c>
      <c r="N49" s="644">
        <v>0.107623284437443</v>
      </c>
      <c r="O49" s="644">
        <v>0.14280037541718699</v>
      </c>
      <c r="P49" s="644">
        <v>4.94211037421977E-5</v>
      </c>
      <c r="Q49" s="644">
        <v>3.5152382182521397E-2</v>
      </c>
      <c r="R49" s="644">
        <v>6.1047201672176303E-2</v>
      </c>
      <c r="S49" s="644">
        <v>1.4240503466161999E-2</v>
      </c>
      <c r="T49" s="644">
        <v>1.9643493792247699E-2</v>
      </c>
      <c r="U49" s="644"/>
      <c r="V49" s="644"/>
      <c r="W49" s="644"/>
      <c r="X49" s="644"/>
      <c r="Y49" s="644"/>
      <c r="Z49" s="644"/>
      <c r="AA49" s="644"/>
      <c r="AB49" s="644"/>
      <c r="AC49" s="644"/>
      <c r="AD49" s="644"/>
      <c r="AE49" s="644"/>
      <c r="AF49" s="204">
        <f t="shared" si="10"/>
        <v>1.4955823180859467</v>
      </c>
    </row>
    <row r="50" spans="2:32" x14ac:dyDescent="0.2">
      <c r="B50" s="200">
        <f t="shared" si="12"/>
        <v>1.1666666666666667</v>
      </c>
      <c r="C50" s="200">
        <f t="shared" si="13"/>
        <v>1.2083333333333335</v>
      </c>
      <c r="D50" s="271">
        <f t="shared" si="11"/>
        <v>5</v>
      </c>
      <c r="E50" s="202" t="s">
        <v>340</v>
      </c>
      <c r="F50" s="203" t="s">
        <v>358</v>
      </c>
      <c r="G50" s="644">
        <v>0.33474654851082802</v>
      </c>
      <c r="H50" s="644">
        <v>0.22046012508892901</v>
      </c>
      <c r="I50" s="644">
        <v>5.7250283165582498E-2</v>
      </c>
      <c r="J50" s="644">
        <v>9.5408902343563098E-2</v>
      </c>
      <c r="K50" s="644">
        <v>0.24647848856469901</v>
      </c>
      <c r="L50" s="644">
        <v>5.6088969696103698E-2</v>
      </c>
      <c r="M50" s="644">
        <v>0.110736592887535</v>
      </c>
      <c r="N50" s="644">
        <v>9.6916138974163402E-2</v>
      </c>
      <c r="O50" s="644">
        <v>0.14532067273392901</v>
      </c>
      <c r="P50" s="644">
        <v>3.2947402494798499E-5</v>
      </c>
      <c r="Q50" s="644">
        <v>3.6107789008475499E-2</v>
      </c>
      <c r="R50" s="644">
        <v>5.5726574003500402E-2</v>
      </c>
      <c r="S50" s="644">
        <v>6.8772818937219607E-2</v>
      </c>
      <c r="T50" s="644">
        <v>3.31344970759802E-2</v>
      </c>
      <c r="U50" s="644"/>
      <c r="V50" s="644"/>
      <c r="W50" s="644"/>
      <c r="X50" s="644"/>
      <c r="Y50" s="644"/>
      <c r="Z50" s="644"/>
      <c r="AA50" s="644"/>
      <c r="AB50" s="644"/>
      <c r="AC50" s="644"/>
      <c r="AD50" s="644"/>
      <c r="AE50" s="644"/>
      <c r="AF50" s="204">
        <f t="shared" ref="AF50:AF63" si="14">SUM(G50:AE50)</f>
        <v>1.5571813483930033</v>
      </c>
    </row>
    <row r="51" spans="2:32" x14ac:dyDescent="0.2">
      <c r="B51" s="200">
        <f t="shared" si="12"/>
        <v>1.2083333333333335</v>
      </c>
      <c r="C51" s="200">
        <f t="shared" si="13"/>
        <v>1.2500000000000002</v>
      </c>
      <c r="D51" s="271">
        <f t="shared" si="11"/>
        <v>6</v>
      </c>
      <c r="E51" s="202" t="s">
        <v>340</v>
      </c>
      <c r="F51" s="203" t="s">
        <v>358</v>
      </c>
      <c r="G51" s="644">
        <v>0.35023072810387901</v>
      </c>
      <c r="H51" s="644">
        <v>0.21653142633048</v>
      </c>
      <c r="I51" s="644">
        <v>5.0974248670952398E-2</v>
      </c>
      <c r="J51" s="644">
        <v>0.19696205892990101</v>
      </c>
      <c r="K51" s="644">
        <v>0.31201445506571202</v>
      </c>
      <c r="L51" s="644">
        <v>7.6794941768938502E-2</v>
      </c>
      <c r="M51" s="644">
        <v>0.119137583943339</v>
      </c>
      <c r="N51" s="644">
        <v>0.103225118531757</v>
      </c>
      <c r="O51" s="644">
        <v>0.14413465046722701</v>
      </c>
      <c r="P51" s="644">
        <v>4.94211037421977E-5</v>
      </c>
      <c r="Q51" s="644">
        <v>3.55312504066067E-2</v>
      </c>
      <c r="R51" s="644">
        <v>4.47064504420632E-2</v>
      </c>
      <c r="S51" s="644">
        <v>0.11527477531081699</v>
      </c>
      <c r="T51" s="644">
        <v>7.8648101560659905E-2</v>
      </c>
      <c r="U51" s="644"/>
      <c r="V51" s="644"/>
      <c r="W51" s="644"/>
      <c r="X51" s="644"/>
      <c r="Y51" s="644"/>
      <c r="Z51" s="644"/>
      <c r="AA51" s="644"/>
      <c r="AB51" s="644"/>
      <c r="AC51" s="644"/>
      <c r="AD51" s="644"/>
      <c r="AE51" s="644"/>
      <c r="AF51" s="204">
        <f t="shared" si="14"/>
        <v>1.844215210636075</v>
      </c>
    </row>
    <row r="52" spans="2:32" x14ac:dyDescent="0.2">
      <c r="B52" s="200">
        <f t="shared" si="12"/>
        <v>1.2500000000000002</v>
      </c>
      <c r="C52" s="200">
        <f t="shared" si="13"/>
        <v>1.291666666666667</v>
      </c>
      <c r="D52" s="271">
        <f t="shared" si="11"/>
        <v>7</v>
      </c>
      <c r="E52" s="202" t="s">
        <v>340</v>
      </c>
      <c r="F52" s="203" t="s">
        <v>358</v>
      </c>
      <c r="G52" s="644">
        <v>0.47605615982889798</v>
      </c>
      <c r="H52" s="644">
        <v>0.231562611307776</v>
      </c>
      <c r="I52" s="644">
        <v>5.3519254784916502E-2</v>
      </c>
      <c r="J52" s="644">
        <v>0.26481241610412998</v>
      </c>
      <c r="K52" s="644">
        <v>0.311932092408302</v>
      </c>
      <c r="L52" s="644">
        <v>0.10595132249202301</v>
      </c>
      <c r="M52" s="644">
        <v>0.11479707189784</v>
      </c>
      <c r="N52" s="644">
        <v>9.4750001084284302E-2</v>
      </c>
      <c r="O52" s="644">
        <v>9.5161814371333697E-2</v>
      </c>
      <c r="P52" s="644">
        <v>4.94211037421977E-5</v>
      </c>
      <c r="Q52" s="644">
        <v>2.82174464286125E-2</v>
      </c>
      <c r="R52" s="644">
        <v>3.2302634236140798E-2</v>
      </c>
      <c r="S52" s="644">
        <v>7.8153925616201006E-2</v>
      </c>
      <c r="T52" s="644">
        <v>3.66843276103445E-2</v>
      </c>
      <c r="U52" s="644"/>
      <c r="V52" s="644"/>
      <c r="W52" s="644"/>
      <c r="X52" s="644"/>
      <c r="Y52" s="644"/>
      <c r="Z52" s="644"/>
      <c r="AA52" s="644"/>
      <c r="AB52" s="644"/>
      <c r="AC52" s="644"/>
      <c r="AD52" s="644"/>
      <c r="AE52" s="644"/>
      <c r="AF52" s="204">
        <f t="shared" si="14"/>
        <v>1.9239504992745444</v>
      </c>
    </row>
    <row r="53" spans="2:32" x14ac:dyDescent="0.2">
      <c r="B53" s="200">
        <f t="shared" si="12"/>
        <v>1.291666666666667</v>
      </c>
      <c r="C53" s="200">
        <f t="shared" si="13"/>
        <v>1.3333333333333337</v>
      </c>
      <c r="D53" s="271">
        <f t="shared" si="11"/>
        <v>8</v>
      </c>
      <c r="E53" s="202" t="s">
        <v>340</v>
      </c>
      <c r="F53" s="203" t="s">
        <v>358</v>
      </c>
      <c r="G53" s="644">
        <v>1.0775094655642801</v>
      </c>
      <c r="H53" s="644">
        <v>0.272710994949734</v>
      </c>
      <c r="I53" s="644">
        <v>0.13340279620672399</v>
      </c>
      <c r="J53" s="644">
        <v>0.24763156576843701</v>
      </c>
      <c r="K53" s="644">
        <v>0.37223803016378898</v>
      </c>
      <c r="L53" s="644">
        <v>0.16888462901888501</v>
      </c>
      <c r="M53" s="644">
        <v>0.14181202352826899</v>
      </c>
      <c r="N53" s="644">
        <v>9.1315478270293807E-2</v>
      </c>
      <c r="O53" s="644">
        <v>6.0684805979573E-2</v>
      </c>
      <c r="P53" s="644">
        <v>4.94211037421977E-5</v>
      </c>
      <c r="Q53" s="644">
        <v>4.5628912205053503E-2</v>
      </c>
      <c r="R53" s="644">
        <v>6.3205103296314194E-2</v>
      </c>
      <c r="S53" s="644">
        <v>1.2741503101302801E-2</v>
      </c>
      <c r="T53" s="644">
        <v>4.2532076286443302E-2</v>
      </c>
      <c r="U53" s="644"/>
      <c r="V53" s="644"/>
      <c r="W53" s="644"/>
      <c r="X53" s="644"/>
      <c r="Y53" s="644"/>
      <c r="Z53" s="644"/>
      <c r="AA53" s="644"/>
      <c r="AB53" s="644"/>
      <c r="AC53" s="644"/>
      <c r="AD53" s="644"/>
      <c r="AE53" s="644"/>
      <c r="AF53" s="204">
        <f t="shared" si="14"/>
        <v>2.7303468054428408</v>
      </c>
    </row>
    <row r="54" spans="2:32" x14ac:dyDescent="0.2">
      <c r="B54" s="200">
        <f t="shared" si="12"/>
        <v>1.3333333333333337</v>
      </c>
      <c r="C54" s="200">
        <f t="shared" si="13"/>
        <v>1.3750000000000004</v>
      </c>
      <c r="D54" s="271">
        <f t="shared" si="11"/>
        <v>9</v>
      </c>
      <c r="E54" s="202" t="s">
        <v>340</v>
      </c>
      <c r="F54" s="203" t="s">
        <v>358</v>
      </c>
      <c r="G54" s="644">
        <v>1.90186906731367</v>
      </c>
      <c r="H54" s="644">
        <v>0.421976838973594</v>
      </c>
      <c r="I54" s="644">
        <v>0.29760099001898899</v>
      </c>
      <c r="J54" s="644">
        <v>0.281153167334243</v>
      </c>
      <c r="K54" s="644">
        <v>0.360962582364382</v>
      </c>
      <c r="L54" s="644">
        <v>0.216778514302709</v>
      </c>
      <c r="M54" s="644">
        <v>0.14734679410620999</v>
      </c>
      <c r="N54" s="644">
        <v>0.11893167729981501</v>
      </c>
      <c r="O54" s="644">
        <v>3.2047309998170299E-2</v>
      </c>
      <c r="P54" s="644">
        <v>9.4601750640477406E-2</v>
      </c>
      <c r="Q54" s="644">
        <v>8.9643516324873995E-2</v>
      </c>
      <c r="R54" s="644">
        <v>8.4866482195103093E-2</v>
      </c>
      <c r="S54" s="644">
        <v>1.37792725846669E-2</v>
      </c>
      <c r="T54" s="644">
        <v>2.6331341573927001E-2</v>
      </c>
      <c r="U54" s="644"/>
      <c r="V54" s="644"/>
      <c r="W54" s="644"/>
      <c r="X54" s="644"/>
      <c r="Y54" s="644"/>
      <c r="Z54" s="644"/>
      <c r="AA54" s="644"/>
      <c r="AB54" s="644"/>
      <c r="AC54" s="644"/>
      <c r="AD54" s="644"/>
      <c r="AE54" s="644"/>
      <c r="AF54" s="204">
        <f t="shared" si="14"/>
        <v>4.0878893050308305</v>
      </c>
    </row>
    <row r="55" spans="2:32" x14ac:dyDescent="0.2">
      <c r="B55" s="200">
        <f t="shared" si="12"/>
        <v>1.3750000000000004</v>
      </c>
      <c r="C55" s="200">
        <f t="shared" si="13"/>
        <v>1.4166666666666672</v>
      </c>
      <c r="D55" s="271">
        <f t="shared" si="11"/>
        <v>10</v>
      </c>
      <c r="E55" s="202" t="s">
        <v>340</v>
      </c>
      <c r="F55" s="203" t="s">
        <v>358</v>
      </c>
      <c r="G55" s="644">
        <v>1.9861260658439399</v>
      </c>
      <c r="H55" s="644">
        <v>0.45590201756070903</v>
      </c>
      <c r="I55" s="644">
        <v>0.62615386669259698</v>
      </c>
      <c r="J55" s="644">
        <v>0.32753981598746701</v>
      </c>
      <c r="K55" s="644">
        <v>0.28449709122508299</v>
      </c>
      <c r="L55" s="644">
        <v>0.222255631020464</v>
      </c>
      <c r="M55" s="644">
        <v>0.138797550267069</v>
      </c>
      <c r="N55" s="644">
        <v>0.119170529006303</v>
      </c>
      <c r="O55" s="644">
        <v>1.1604898429047E-2</v>
      </c>
      <c r="P55" s="644">
        <v>0.24079546520341899</v>
      </c>
      <c r="Q55" s="644">
        <v>9.7451496247327102E-2</v>
      </c>
      <c r="R55" s="644">
        <v>9.6990265365832107E-2</v>
      </c>
      <c r="S55" s="644">
        <v>4.1535488131784301E-2</v>
      </c>
      <c r="T55" s="644">
        <v>2.6364286636890999E-2</v>
      </c>
      <c r="U55" s="644"/>
      <c r="V55" s="644"/>
      <c r="W55" s="644"/>
      <c r="X55" s="644"/>
      <c r="Y55" s="644"/>
      <c r="Z55" s="644"/>
      <c r="AA55" s="644"/>
      <c r="AB55" s="644"/>
      <c r="AC55" s="644"/>
      <c r="AD55" s="644"/>
      <c r="AE55" s="644"/>
      <c r="AF55" s="204">
        <f t="shared" si="14"/>
        <v>4.6751844676179335</v>
      </c>
    </row>
    <row r="56" spans="2:32" x14ac:dyDescent="0.2">
      <c r="B56" s="200">
        <f t="shared" si="12"/>
        <v>1.4166666666666672</v>
      </c>
      <c r="C56" s="200">
        <f t="shared" si="13"/>
        <v>1.4583333333333339</v>
      </c>
      <c r="D56" s="271">
        <f t="shared" si="11"/>
        <v>11</v>
      </c>
      <c r="E56" s="202" t="s">
        <v>340</v>
      </c>
      <c r="F56" s="203" t="s">
        <v>358</v>
      </c>
      <c r="G56" s="644">
        <v>2.1805431186598798</v>
      </c>
      <c r="H56" s="644">
        <v>0.50746104109927104</v>
      </c>
      <c r="I56" s="644">
        <v>1.03144403127496</v>
      </c>
      <c r="J56" s="644">
        <v>0.330389563933848</v>
      </c>
      <c r="K56" s="644">
        <v>0.229067022788258</v>
      </c>
      <c r="L56" s="644">
        <v>0.21308866725074799</v>
      </c>
      <c r="M56" s="644">
        <v>0.15055070147945401</v>
      </c>
      <c r="N56" s="644">
        <v>0.117737418767372</v>
      </c>
      <c r="O56" s="644">
        <v>5.1888474168201599E-4</v>
      </c>
      <c r="P56" s="644">
        <v>0.25286983077970199</v>
      </c>
      <c r="Q56" s="644">
        <v>9.8406903073281399E-2</v>
      </c>
      <c r="R56" s="644">
        <v>8.1226052737587998E-2</v>
      </c>
      <c r="S56" s="644">
        <v>0.13694439047534801</v>
      </c>
      <c r="T56" s="644">
        <v>3.8257454366872501E-2</v>
      </c>
      <c r="U56" s="644"/>
      <c r="V56" s="644"/>
      <c r="W56" s="644"/>
      <c r="X56" s="644"/>
      <c r="Y56" s="644"/>
      <c r="Z56" s="644"/>
      <c r="AA56" s="644"/>
      <c r="AB56" s="644"/>
      <c r="AC56" s="644"/>
      <c r="AD56" s="644"/>
      <c r="AE56" s="644"/>
      <c r="AF56" s="204">
        <f t="shared" si="14"/>
        <v>5.3685050814282658</v>
      </c>
    </row>
    <row r="57" spans="2:32" x14ac:dyDescent="0.2">
      <c r="B57" s="200">
        <f t="shared" si="12"/>
        <v>1.4583333333333339</v>
      </c>
      <c r="C57" s="200">
        <f t="shared" si="13"/>
        <v>1.5000000000000007</v>
      </c>
      <c r="D57" s="271">
        <f t="shared" si="11"/>
        <v>12</v>
      </c>
      <c r="E57" s="202" t="s">
        <v>340</v>
      </c>
      <c r="F57" s="203" t="s">
        <v>358</v>
      </c>
      <c r="G57" s="644">
        <v>1.9074614917518</v>
      </c>
      <c r="H57" s="644">
        <v>0.462318068572936</v>
      </c>
      <c r="I57" s="644">
        <v>1.2024453805892701</v>
      </c>
      <c r="J57" s="644">
        <v>0.32116494630394499</v>
      </c>
      <c r="K57" s="644">
        <v>0.15851517045098601</v>
      </c>
      <c r="L57" s="644">
        <v>0.20420997278196601</v>
      </c>
      <c r="M57" s="644">
        <v>0.15443821890919801</v>
      </c>
      <c r="N57" s="644">
        <v>0.138426918308725</v>
      </c>
      <c r="O57" s="644">
        <v>0</v>
      </c>
      <c r="P57" s="644">
        <v>0.21343459041186899</v>
      </c>
      <c r="Q57" s="644">
        <v>9.4931198930586103E-2</v>
      </c>
      <c r="R57" s="644">
        <v>6.9678808168727902E-2</v>
      </c>
      <c r="S57" s="644">
        <v>0.16357223761594999</v>
      </c>
      <c r="T57" s="644">
        <v>4.7605615982889801E-2</v>
      </c>
      <c r="U57" s="644"/>
      <c r="V57" s="644"/>
      <c r="W57" s="644"/>
      <c r="X57" s="644"/>
      <c r="Y57" s="644"/>
      <c r="Z57" s="644"/>
      <c r="AA57" s="644"/>
      <c r="AB57" s="644"/>
      <c r="AC57" s="644"/>
      <c r="AD57" s="644"/>
      <c r="AE57" s="644"/>
      <c r="AF57" s="204">
        <f t="shared" si="14"/>
        <v>5.1382026187788492</v>
      </c>
    </row>
    <row r="58" spans="2:32" x14ac:dyDescent="0.2">
      <c r="B58" s="200">
        <f t="shared" si="12"/>
        <v>1.5000000000000007</v>
      </c>
      <c r="C58" s="200">
        <f t="shared" si="13"/>
        <v>1.5416666666666674</v>
      </c>
      <c r="D58" s="271">
        <f t="shared" si="11"/>
        <v>13</v>
      </c>
      <c r="E58" s="202" t="s">
        <v>340</v>
      </c>
      <c r="F58" s="203" t="s">
        <v>358</v>
      </c>
      <c r="G58" s="644">
        <v>0.89460671225424204</v>
      </c>
      <c r="H58" s="644">
        <v>0.288928202193732</v>
      </c>
      <c r="I58" s="644">
        <v>1.11425968330056</v>
      </c>
      <c r="J58" s="644">
        <v>0.30022835879036303</v>
      </c>
      <c r="K58" s="644">
        <v>0.198255152651235</v>
      </c>
      <c r="L58" s="644">
        <v>0.22662085186318501</v>
      </c>
      <c r="M58" s="644">
        <v>0.14190262245141999</v>
      </c>
      <c r="N58" s="644">
        <v>0.147577409546958</v>
      </c>
      <c r="O58" s="644">
        <v>7.0831885372465802E-4</v>
      </c>
      <c r="P58" s="644">
        <v>3.5794810910318102E-2</v>
      </c>
      <c r="Q58" s="644">
        <v>6.1244872049959903E-2</v>
      </c>
      <c r="R58" s="644">
        <v>4.2828581853118802E-2</v>
      </c>
      <c r="S58" s="644">
        <v>0.14775037112751899</v>
      </c>
      <c r="T58" s="644">
        <v>2.6841990049868099E-2</v>
      </c>
      <c r="U58" s="644"/>
      <c r="V58" s="644"/>
      <c r="W58" s="644"/>
      <c r="X58" s="644"/>
      <c r="Y58" s="644"/>
      <c r="Z58" s="644"/>
      <c r="AA58" s="644"/>
      <c r="AB58" s="644"/>
      <c r="AC58" s="644"/>
      <c r="AD58" s="644"/>
      <c r="AE58" s="644"/>
      <c r="AF58" s="204">
        <f t="shared" si="14"/>
        <v>3.6275479378962032</v>
      </c>
    </row>
    <row r="59" spans="2:32" x14ac:dyDescent="0.2">
      <c r="B59" s="200">
        <f t="shared" si="12"/>
        <v>1.5416666666666674</v>
      </c>
      <c r="C59" s="200">
        <f t="shared" si="13"/>
        <v>1.5833333333333341</v>
      </c>
      <c r="D59" s="271">
        <f t="shared" si="11"/>
        <v>14</v>
      </c>
      <c r="E59" s="202" t="s">
        <v>340</v>
      </c>
      <c r="F59" s="203" t="s">
        <v>358</v>
      </c>
      <c r="G59" s="644">
        <v>1.6075872923882999</v>
      </c>
      <c r="H59" s="644">
        <v>0.30056604568574302</v>
      </c>
      <c r="I59" s="644">
        <v>0.95227704497261501</v>
      </c>
      <c r="J59" s="644">
        <v>0.39884940477290998</v>
      </c>
      <c r="K59" s="644">
        <v>0.18918702407041099</v>
      </c>
      <c r="L59" s="644">
        <v>0.243760520870174</v>
      </c>
      <c r="M59" s="644">
        <v>0.143286315095905</v>
      </c>
      <c r="N59" s="644">
        <v>0.14184496859123299</v>
      </c>
      <c r="O59" s="644">
        <v>6.6713752501973596E-4</v>
      </c>
      <c r="P59" s="644">
        <v>0.156110180854618</v>
      </c>
      <c r="Q59" s="644">
        <v>0.13884696786151399</v>
      </c>
      <c r="R59" s="644">
        <v>7.7074974804131904E-2</v>
      </c>
      <c r="S59" s="644">
        <v>6.4860592710252005E-2</v>
      </c>
      <c r="T59" s="644">
        <v>3.0012952360147099E-2</v>
      </c>
      <c r="U59" s="644"/>
      <c r="V59" s="644"/>
      <c r="W59" s="644"/>
      <c r="X59" s="644"/>
      <c r="Y59" s="644"/>
      <c r="Z59" s="644"/>
      <c r="AA59" s="644"/>
      <c r="AB59" s="644"/>
      <c r="AC59" s="644"/>
      <c r="AD59" s="644"/>
      <c r="AE59" s="644"/>
      <c r="AF59" s="204">
        <f t="shared" si="14"/>
        <v>4.4449314225629744</v>
      </c>
    </row>
    <row r="60" spans="2:32" x14ac:dyDescent="0.2">
      <c r="B60" s="200">
        <f t="shared" si="12"/>
        <v>1.5833333333333341</v>
      </c>
      <c r="C60" s="200">
        <f t="shared" si="13"/>
        <v>1.6250000000000009</v>
      </c>
      <c r="D60" s="271">
        <f t="shared" si="11"/>
        <v>15</v>
      </c>
      <c r="E60" s="202" t="s">
        <v>340</v>
      </c>
      <c r="F60" s="203" t="s">
        <v>358</v>
      </c>
      <c r="G60" s="644">
        <v>2.3922069119374298</v>
      </c>
      <c r="H60" s="644">
        <v>0.47001074077501498</v>
      </c>
      <c r="I60" s="644">
        <v>0.70937309573950302</v>
      </c>
      <c r="J60" s="644">
        <v>0.41179681451773698</v>
      </c>
      <c r="K60" s="644">
        <v>0.19043070019729999</v>
      </c>
      <c r="L60" s="644">
        <v>0.25975534893916602</v>
      </c>
      <c r="M60" s="644">
        <v>0.150287140975742</v>
      </c>
      <c r="N60" s="644">
        <v>0.184558242723978</v>
      </c>
      <c r="O60" s="644">
        <v>3.9534075556724998E-4</v>
      </c>
      <c r="P60" s="644">
        <v>0.248867005629584</v>
      </c>
      <c r="Q60" s="644">
        <v>0.219578844654644</v>
      </c>
      <c r="R60" s="644">
        <v>0.11479707189784</v>
      </c>
      <c r="S60" s="644">
        <v>2.4766451083140101E-2</v>
      </c>
      <c r="T60" s="644">
        <v>3.51606184482623E-2</v>
      </c>
      <c r="U60" s="644"/>
      <c r="V60" s="644"/>
      <c r="W60" s="644"/>
      <c r="X60" s="644"/>
      <c r="Y60" s="644"/>
      <c r="Z60" s="644"/>
      <c r="AA60" s="644"/>
      <c r="AB60" s="644"/>
      <c r="AC60" s="644"/>
      <c r="AD60" s="644"/>
      <c r="AE60" s="644"/>
      <c r="AF60" s="204">
        <f t="shared" si="14"/>
        <v>5.4119843282749081</v>
      </c>
    </row>
    <row r="61" spans="2:32" x14ac:dyDescent="0.2">
      <c r="B61" s="200">
        <f t="shared" si="12"/>
        <v>1.6250000000000009</v>
      </c>
      <c r="C61" s="200">
        <f t="shared" si="13"/>
        <v>1.6666666666666676</v>
      </c>
      <c r="D61" s="271">
        <f t="shared" si="11"/>
        <v>16</v>
      </c>
      <c r="E61" s="202" t="s">
        <v>340</v>
      </c>
      <c r="F61" s="203" t="s">
        <v>358</v>
      </c>
      <c r="G61" s="644">
        <v>2.4586406314042102</v>
      </c>
      <c r="H61" s="644">
        <v>0.47251456556027399</v>
      </c>
      <c r="I61" s="644">
        <v>0.42642442247372597</v>
      </c>
      <c r="J61" s="644">
        <v>0.45166034070410099</v>
      </c>
      <c r="K61" s="644">
        <v>0.199712971687389</v>
      </c>
      <c r="L61" s="644">
        <v>0.26345343225686801</v>
      </c>
      <c r="M61" s="644">
        <v>0.16288039129370699</v>
      </c>
      <c r="N61" s="644">
        <v>0.213253392565568</v>
      </c>
      <c r="O61" s="644">
        <v>9.0598923150828103E-4</v>
      </c>
      <c r="P61" s="644">
        <v>0.21859049276572501</v>
      </c>
      <c r="Q61" s="644">
        <v>0.215592492036008</v>
      </c>
      <c r="R61" s="644">
        <v>0.1044193770642</v>
      </c>
      <c r="S61" s="644">
        <v>2.19496481997234E-2</v>
      </c>
      <c r="T61" s="644">
        <v>3.8562196199288898E-2</v>
      </c>
      <c r="U61" s="644"/>
      <c r="V61" s="644"/>
      <c r="W61" s="644"/>
      <c r="X61" s="644"/>
      <c r="Y61" s="644"/>
      <c r="Z61" s="644"/>
      <c r="AA61" s="644"/>
      <c r="AB61" s="644"/>
      <c r="AC61" s="644"/>
      <c r="AD61" s="644"/>
      <c r="AE61" s="644"/>
      <c r="AF61" s="204">
        <f t="shared" si="14"/>
        <v>5.248560343442298</v>
      </c>
    </row>
    <row r="62" spans="2:32" x14ac:dyDescent="0.2">
      <c r="B62" s="200">
        <f t="shared" si="12"/>
        <v>1.6666666666666676</v>
      </c>
      <c r="C62" s="200">
        <f t="shared" si="13"/>
        <v>1.7083333333333344</v>
      </c>
      <c r="D62" s="271">
        <f t="shared" si="11"/>
        <v>17</v>
      </c>
      <c r="E62" s="202" t="s">
        <v>340</v>
      </c>
      <c r="F62" s="203" t="s">
        <v>358</v>
      </c>
      <c r="G62" s="644">
        <v>2.1757001944041798</v>
      </c>
      <c r="H62" s="644">
        <v>0.40052960298407098</v>
      </c>
      <c r="I62" s="644">
        <v>0.204506478348642</v>
      </c>
      <c r="J62" s="644">
        <v>0.42747866448857202</v>
      </c>
      <c r="K62" s="644">
        <v>0.25170851731022398</v>
      </c>
      <c r="L62" s="644">
        <v>0.25681500206963398</v>
      </c>
      <c r="M62" s="644">
        <v>0.162773319839075</v>
      </c>
      <c r="N62" s="644">
        <v>0.24881758803513801</v>
      </c>
      <c r="O62" s="644">
        <v>1.4825278333771899E-4</v>
      </c>
      <c r="P62" s="644">
        <v>0.23331693591060601</v>
      </c>
      <c r="Q62" s="644">
        <v>0.207899819833928</v>
      </c>
      <c r="R62" s="644">
        <v>8.2263822220951993E-2</v>
      </c>
      <c r="S62" s="644">
        <v>1.9322279428349399E-2</v>
      </c>
      <c r="T62" s="644">
        <v>2.7591490232297702E-2</v>
      </c>
      <c r="U62" s="644"/>
      <c r="V62" s="644"/>
      <c r="W62" s="644"/>
      <c r="X62" s="644"/>
      <c r="Y62" s="644"/>
      <c r="Z62" s="644"/>
      <c r="AA62" s="644"/>
      <c r="AB62" s="644"/>
      <c r="AC62" s="644"/>
      <c r="AD62" s="644"/>
      <c r="AE62" s="644"/>
      <c r="AF62" s="204">
        <f t="shared" si="14"/>
        <v>4.6988719678890059</v>
      </c>
    </row>
    <row r="63" spans="2:32" x14ac:dyDescent="0.2">
      <c r="B63" s="200">
        <f t="shared" si="12"/>
        <v>1.7083333333333344</v>
      </c>
      <c r="C63" s="200">
        <f t="shared" si="13"/>
        <v>1.7500000000000011</v>
      </c>
      <c r="D63" s="271">
        <f t="shared" si="11"/>
        <v>18</v>
      </c>
      <c r="E63" s="202" t="s">
        <v>361</v>
      </c>
      <c r="F63" s="203" t="s">
        <v>358</v>
      </c>
      <c r="G63" s="644">
        <v>1.74040531372741</v>
      </c>
      <c r="H63" s="644">
        <v>0.41981070108371499</v>
      </c>
      <c r="I63" s="644">
        <v>8.74609059035132E-2</v>
      </c>
      <c r="J63" s="644">
        <v>0.40980363820841897</v>
      </c>
      <c r="K63" s="644">
        <v>0.38703859970033799</v>
      </c>
      <c r="L63" s="644">
        <v>0.27696914433782299</v>
      </c>
      <c r="M63" s="644">
        <v>0.167566826500327</v>
      </c>
      <c r="N63" s="644">
        <v>0.330924921207012</v>
      </c>
      <c r="O63" s="644">
        <v>5.6426656591484103E-2</v>
      </c>
      <c r="P63" s="644">
        <v>0.19226738745753999</v>
      </c>
      <c r="Q63" s="644">
        <v>0.173752262071807</v>
      </c>
      <c r="R63" s="644">
        <v>4.9499957103316103E-2</v>
      </c>
      <c r="S63" s="644">
        <v>0.123272189345313</v>
      </c>
      <c r="T63" s="644">
        <v>3.4715860098249202E-2</v>
      </c>
      <c r="U63" s="644"/>
      <c r="V63" s="644"/>
      <c r="W63" s="644"/>
      <c r="X63" s="644"/>
      <c r="Y63" s="644"/>
      <c r="Z63" s="644"/>
      <c r="AA63" s="644"/>
      <c r="AB63" s="644"/>
      <c r="AC63" s="644"/>
      <c r="AD63" s="644"/>
      <c r="AE63" s="644"/>
      <c r="AF63" s="204">
        <f t="shared" si="14"/>
        <v>4.4499143633362657</v>
      </c>
    </row>
    <row r="64" spans="2:32" x14ac:dyDescent="0.2">
      <c r="B64" s="205"/>
      <c r="C64" s="205" t="s">
        <v>622</v>
      </c>
      <c r="D64" s="205"/>
      <c r="E64" s="205"/>
      <c r="F64" s="205" t="s">
        <v>356</v>
      </c>
      <c r="G64" s="206">
        <f>MAX(G40:G42)</f>
        <v>0.65276524130171798</v>
      </c>
      <c r="H64" s="206">
        <f t="shared" ref="H64:AF64" si="15">MAX(H40:H42)</f>
        <v>0.47124618063616303</v>
      </c>
      <c r="I64" s="206">
        <f t="shared" si="15"/>
        <v>8.2313239815397996E-2</v>
      </c>
      <c r="J64" s="206">
        <f t="shared" si="15"/>
        <v>0.30404998609417899</v>
      </c>
      <c r="K64" s="206">
        <f t="shared" si="15"/>
        <v>0.45935301290618102</v>
      </c>
      <c r="L64" s="206">
        <f t="shared" si="15"/>
        <v>0.28817870201130302</v>
      </c>
      <c r="M64" s="206">
        <f t="shared" si="15"/>
        <v>0.15963530259175901</v>
      </c>
      <c r="N64" s="206">
        <f t="shared" si="15"/>
        <v>0.46604086068785999</v>
      </c>
      <c r="O64" s="206">
        <f t="shared" si="15"/>
        <v>0.23535129354862899</v>
      </c>
      <c r="P64" s="206">
        <f t="shared" si="15"/>
        <v>9.1406077193444693E-2</v>
      </c>
      <c r="Q64" s="206">
        <f t="shared" si="15"/>
        <v>6.2348531659251701E-2</v>
      </c>
      <c r="R64" s="206">
        <f t="shared" si="15"/>
        <v>0.105012388197551</v>
      </c>
      <c r="S64" s="206">
        <f t="shared" si="15"/>
        <v>0.13091544395294699</v>
      </c>
      <c r="T64" s="206">
        <f t="shared" si="15"/>
        <v>2.7476182511923901E-2</v>
      </c>
      <c r="U64" s="206">
        <f t="shared" si="15"/>
        <v>0</v>
      </c>
      <c r="V64" s="206">
        <f t="shared" si="15"/>
        <v>0</v>
      </c>
      <c r="W64" s="206">
        <f t="shared" si="15"/>
        <v>0</v>
      </c>
      <c r="X64" s="206">
        <f t="shared" si="15"/>
        <v>0</v>
      </c>
      <c r="Y64" s="206">
        <f t="shared" si="15"/>
        <v>0</v>
      </c>
      <c r="Z64" s="206">
        <f t="shared" si="15"/>
        <v>0</v>
      </c>
      <c r="AA64" s="206">
        <f t="shared" si="15"/>
        <v>0</v>
      </c>
      <c r="AB64" s="206">
        <f t="shared" si="15"/>
        <v>0</v>
      </c>
      <c r="AC64" s="206">
        <f t="shared" si="15"/>
        <v>0</v>
      </c>
      <c r="AD64" s="206">
        <f t="shared" si="15"/>
        <v>0</v>
      </c>
      <c r="AE64" s="206">
        <f t="shared" si="15"/>
        <v>0</v>
      </c>
      <c r="AF64" s="206">
        <f t="shared" si="15"/>
        <v>3.3690527376154038</v>
      </c>
    </row>
    <row r="65" spans="2:32" x14ac:dyDescent="0.2">
      <c r="B65" s="205"/>
      <c r="C65" s="205" t="s">
        <v>622</v>
      </c>
      <c r="D65" s="205"/>
      <c r="E65" s="205"/>
      <c r="F65" s="205" t="s">
        <v>358</v>
      </c>
      <c r="G65" s="206">
        <f>MAX(G43:G63)</f>
        <v>2.4586406314042102</v>
      </c>
      <c r="H65" s="206">
        <f t="shared" ref="H65:AF65" si="16">MAX(H43:H63)</f>
        <v>0.50746104109927104</v>
      </c>
      <c r="I65" s="206">
        <f t="shared" si="16"/>
        <v>1.2024453805892701</v>
      </c>
      <c r="J65" s="206">
        <f t="shared" si="16"/>
        <v>0.45166034070410099</v>
      </c>
      <c r="K65" s="206">
        <f t="shared" si="16"/>
        <v>0.38703859970033799</v>
      </c>
      <c r="L65" s="206">
        <f t="shared" si="16"/>
        <v>0.27696914433782299</v>
      </c>
      <c r="M65" s="206">
        <f t="shared" si="16"/>
        <v>0.167566826500327</v>
      </c>
      <c r="N65" s="206">
        <f t="shared" si="16"/>
        <v>0.44283930009550798</v>
      </c>
      <c r="O65" s="206">
        <f t="shared" si="16"/>
        <v>0.25193089648523098</v>
      </c>
      <c r="P65" s="206">
        <f t="shared" si="16"/>
        <v>0.25286983077970199</v>
      </c>
      <c r="Q65" s="206">
        <f t="shared" si="16"/>
        <v>0.219578844654644</v>
      </c>
      <c r="R65" s="206">
        <f t="shared" si="16"/>
        <v>0.11479707189784</v>
      </c>
      <c r="S65" s="206">
        <f t="shared" si="16"/>
        <v>0.16357223761594999</v>
      </c>
      <c r="T65" s="206">
        <f t="shared" si="16"/>
        <v>7.8648101560659905E-2</v>
      </c>
      <c r="U65" s="206">
        <f t="shared" si="16"/>
        <v>0</v>
      </c>
      <c r="V65" s="206">
        <f t="shared" si="16"/>
        <v>0</v>
      </c>
      <c r="W65" s="206">
        <f t="shared" si="16"/>
        <v>0</v>
      </c>
      <c r="X65" s="206">
        <f t="shared" si="16"/>
        <v>0</v>
      </c>
      <c r="Y65" s="206">
        <f t="shared" si="16"/>
        <v>0</v>
      </c>
      <c r="Z65" s="206">
        <f t="shared" si="16"/>
        <v>0</v>
      </c>
      <c r="AA65" s="206">
        <f t="shared" si="16"/>
        <v>0</v>
      </c>
      <c r="AB65" s="206">
        <f t="shared" si="16"/>
        <v>0</v>
      </c>
      <c r="AC65" s="206">
        <f t="shared" si="16"/>
        <v>0</v>
      </c>
      <c r="AD65" s="206">
        <f t="shared" si="16"/>
        <v>0</v>
      </c>
      <c r="AE65" s="206">
        <f t="shared" si="16"/>
        <v>0</v>
      </c>
      <c r="AF65" s="206">
        <f t="shared" si="16"/>
        <v>5.4119843282749081</v>
      </c>
    </row>
    <row r="66" spans="2:32" x14ac:dyDescent="0.2">
      <c r="B66" s="205"/>
      <c r="C66" s="205"/>
      <c r="D66" s="205"/>
      <c r="E66" s="205"/>
      <c r="F66" s="205" t="s">
        <v>710</v>
      </c>
      <c r="G66" s="645">
        <v>0.52153651794850797</v>
      </c>
      <c r="H66" s="645">
        <v>0.86538828578508598</v>
      </c>
      <c r="I66" s="645">
        <v>1.1964896470102799</v>
      </c>
      <c r="J66" s="645">
        <v>0.90083477382199295</v>
      </c>
      <c r="K66" s="645">
        <v>1.29993375916726</v>
      </c>
      <c r="L66" s="645">
        <v>1.0875010953484501</v>
      </c>
      <c r="M66" s="645">
        <v>1.0066246330315001</v>
      </c>
      <c r="N66" s="645">
        <v>1.1469084788775901</v>
      </c>
      <c r="O66" s="645">
        <v>0.78501844339591198</v>
      </c>
      <c r="P66" s="645">
        <v>0.387124320732256</v>
      </c>
      <c r="Q66" s="645">
        <v>0.77574291051112199</v>
      </c>
      <c r="R66" s="645">
        <v>0.60005248527496502</v>
      </c>
      <c r="S66" s="645">
        <v>1.2501123179788101</v>
      </c>
      <c r="T66" s="645">
        <v>1.05562828677303</v>
      </c>
      <c r="U66" s="645"/>
      <c r="V66" s="645"/>
      <c r="W66" s="645"/>
      <c r="X66" s="645"/>
      <c r="Y66" s="645"/>
      <c r="Z66" s="645"/>
      <c r="AA66" s="645"/>
      <c r="AB66" s="645"/>
      <c r="AC66" s="645"/>
      <c r="AD66" s="645"/>
      <c r="AE66" s="645"/>
      <c r="AF66" s="270"/>
    </row>
    <row r="67" spans="2:32" x14ac:dyDescent="0.2">
      <c r="B67" s="205"/>
      <c r="C67" s="205"/>
      <c r="D67" s="205"/>
      <c r="E67" s="205"/>
      <c r="F67" s="205" t="s">
        <v>702</v>
      </c>
      <c r="G67" s="645">
        <v>0.30533182670083298</v>
      </c>
      <c r="H67" s="645">
        <v>0.63494334807847497</v>
      </c>
      <c r="I67" s="645">
        <v>0.89639626923202198</v>
      </c>
      <c r="J67" s="645">
        <v>0.50829806619719498</v>
      </c>
      <c r="K67" s="645">
        <v>0.98298083747338505</v>
      </c>
      <c r="L67" s="645">
        <v>0.78176370677102403</v>
      </c>
      <c r="M67" s="645">
        <v>0.92567231106541603</v>
      </c>
      <c r="N67" s="645">
        <v>0.98026811043941098</v>
      </c>
      <c r="O67" s="645">
        <v>0.76503199914735998</v>
      </c>
      <c r="P67" s="645">
        <v>2.6260541483421199E-3</v>
      </c>
      <c r="Q67" s="645">
        <v>0.27026659874342002</v>
      </c>
      <c r="R67" s="645">
        <v>0.56623836090430202</v>
      </c>
      <c r="S67" s="645">
        <v>0.95936467665636005</v>
      </c>
      <c r="T67" s="645">
        <v>0.63678523087847005</v>
      </c>
      <c r="U67" s="645"/>
      <c r="V67" s="645"/>
      <c r="W67" s="645"/>
      <c r="X67" s="645"/>
      <c r="Y67" s="645"/>
      <c r="Z67" s="645"/>
      <c r="AA67" s="645"/>
      <c r="AB67" s="645"/>
      <c r="AC67" s="645"/>
      <c r="AD67" s="645"/>
      <c r="AE67" s="645"/>
      <c r="AF67" s="270"/>
    </row>
    <row r="68" spans="2:32" x14ac:dyDescent="0.2">
      <c r="B68" s="205"/>
      <c r="C68" s="205"/>
      <c r="D68" s="205"/>
      <c r="E68" s="205"/>
      <c r="F68" s="205" t="s">
        <v>711</v>
      </c>
      <c r="G68" s="645">
        <v>7539.3907337484798</v>
      </c>
      <c r="H68" s="645">
        <v>2622.3129808302401</v>
      </c>
      <c r="I68" s="645">
        <v>2798.2797853256902</v>
      </c>
      <c r="J68" s="645">
        <v>1914.26693693573</v>
      </c>
      <c r="K68" s="645">
        <v>2642.8419143709798</v>
      </c>
      <c r="L68" s="645">
        <v>1573.71372224231</v>
      </c>
      <c r="M68" s="645">
        <v>1199.5243971805</v>
      </c>
      <c r="N68" s="645">
        <v>1861.2613533362801</v>
      </c>
      <c r="O68" s="645">
        <v>895.22299909600997</v>
      </c>
      <c r="P68" s="645">
        <v>556.81166999299296</v>
      </c>
      <c r="Q68" s="645">
        <v>599.16191071611695</v>
      </c>
      <c r="R68" s="645">
        <v>538.50902850255602</v>
      </c>
      <c r="S68" s="645">
        <v>585.1689482168</v>
      </c>
      <c r="T68" s="645">
        <v>256.66361950531501</v>
      </c>
      <c r="U68" s="645"/>
      <c r="V68" s="645"/>
      <c r="W68" s="645"/>
      <c r="X68" s="645"/>
      <c r="Y68" s="645"/>
      <c r="Z68" s="645"/>
      <c r="AA68" s="645"/>
      <c r="AB68" s="645"/>
      <c r="AC68" s="645"/>
      <c r="AD68" s="645"/>
      <c r="AE68" s="645"/>
      <c r="AF68" s="270"/>
    </row>
    <row r="70" spans="2:32" x14ac:dyDescent="0.2">
      <c r="B70" s="803" t="s">
        <v>625</v>
      </c>
      <c r="C70" s="804"/>
      <c r="D70" s="800"/>
      <c r="E70" s="801"/>
      <c r="F70" s="802"/>
      <c r="G70" s="196" t="s">
        <v>25</v>
      </c>
      <c r="H70" s="196" t="s">
        <v>25</v>
      </c>
      <c r="I70" s="196" t="s">
        <v>25</v>
      </c>
      <c r="J70" s="196" t="s">
        <v>25</v>
      </c>
      <c r="K70" s="196" t="s">
        <v>25</v>
      </c>
      <c r="L70" s="196" t="s">
        <v>25</v>
      </c>
      <c r="M70" s="196" t="s">
        <v>25</v>
      </c>
      <c r="N70" s="196" t="s">
        <v>25</v>
      </c>
      <c r="O70" s="196" t="s">
        <v>25</v>
      </c>
      <c r="P70" s="196" t="s">
        <v>25</v>
      </c>
      <c r="Q70" s="196" t="s">
        <v>25</v>
      </c>
      <c r="R70" s="196" t="s">
        <v>25</v>
      </c>
      <c r="S70" s="196" t="s">
        <v>25</v>
      </c>
      <c r="T70" s="196" t="s">
        <v>25</v>
      </c>
      <c r="U70" s="196" t="s">
        <v>25</v>
      </c>
      <c r="V70" s="196" t="s">
        <v>25</v>
      </c>
      <c r="W70" s="196" t="s">
        <v>25</v>
      </c>
      <c r="X70" s="196" t="s">
        <v>25</v>
      </c>
      <c r="Y70" s="196" t="s">
        <v>25</v>
      </c>
      <c r="Z70" s="196" t="s">
        <v>25</v>
      </c>
      <c r="AA70" s="196" t="s">
        <v>25</v>
      </c>
      <c r="AB70" s="196" t="s">
        <v>25</v>
      </c>
      <c r="AC70" s="196" t="s">
        <v>25</v>
      </c>
      <c r="AD70" s="196" t="s">
        <v>25</v>
      </c>
      <c r="AE70" s="196" t="s">
        <v>25</v>
      </c>
      <c r="AF70" s="197"/>
    </row>
    <row r="71" spans="2:32" x14ac:dyDescent="0.2">
      <c r="B71" s="803" t="s">
        <v>20</v>
      </c>
      <c r="C71" s="804"/>
      <c r="D71" s="390"/>
      <c r="E71" s="391"/>
      <c r="F71" s="392"/>
      <c r="G71" s="196">
        <v>1</v>
      </c>
      <c r="H71" s="196">
        <v>2</v>
      </c>
      <c r="I71" s="196">
        <v>3</v>
      </c>
      <c r="J71" s="196">
        <v>4</v>
      </c>
      <c r="K71" s="196">
        <v>5</v>
      </c>
      <c r="L71" s="196">
        <v>6</v>
      </c>
      <c r="M71" s="196">
        <v>7</v>
      </c>
      <c r="N71" s="196">
        <v>8</v>
      </c>
      <c r="O71" s="196">
        <v>9</v>
      </c>
      <c r="P71" s="196">
        <v>10</v>
      </c>
      <c r="Q71" s="196">
        <v>11</v>
      </c>
      <c r="R71" s="196">
        <v>12</v>
      </c>
      <c r="S71" s="196">
        <v>13</v>
      </c>
      <c r="T71" s="196">
        <v>14</v>
      </c>
      <c r="U71" s="196">
        <v>15</v>
      </c>
      <c r="V71" s="196">
        <v>16</v>
      </c>
      <c r="W71" s="196">
        <v>17</v>
      </c>
      <c r="X71" s="196">
        <v>18</v>
      </c>
      <c r="Y71" s="196">
        <v>19</v>
      </c>
      <c r="Z71" s="196">
        <v>20</v>
      </c>
      <c r="AA71" s="196">
        <v>21</v>
      </c>
      <c r="AB71" s="196">
        <v>22</v>
      </c>
      <c r="AC71" s="196">
        <v>23</v>
      </c>
      <c r="AD71" s="196">
        <v>24</v>
      </c>
      <c r="AE71" s="196">
        <v>25</v>
      </c>
      <c r="AF71" s="197" t="s">
        <v>620</v>
      </c>
    </row>
    <row r="72" spans="2:32" x14ac:dyDescent="0.2">
      <c r="B72" s="803"/>
      <c r="C72" s="804"/>
      <c r="D72" s="800" t="s">
        <v>48</v>
      </c>
      <c r="E72" s="801"/>
      <c r="F72" s="802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7"/>
    </row>
    <row r="73" spans="2:32" x14ac:dyDescent="0.2">
      <c r="B73" s="803" t="s">
        <v>47</v>
      </c>
      <c r="C73" s="804"/>
      <c r="D73" s="390"/>
      <c r="E73" s="391" t="s">
        <v>360</v>
      </c>
      <c r="F73" s="392"/>
      <c r="G73" s="198" t="s">
        <v>343</v>
      </c>
      <c r="H73" s="198" t="s">
        <v>343</v>
      </c>
      <c r="I73" s="198" t="s">
        <v>343</v>
      </c>
      <c r="J73" s="198" t="s">
        <v>343</v>
      </c>
      <c r="K73" s="198" t="s">
        <v>343</v>
      </c>
      <c r="L73" s="198" t="s">
        <v>343</v>
      </c>
      <c r="M73" s="198" t="s">
        <v>343</v>
      </c>
      <c r="N73" s="198" t="s">
        <v>343</v>
      </c>
      <c r="O73" s="198" t="s">
        <v>343</v>
      </c>
      <c r="P73" s="198" t="s">
        <v>343</v>
      </c>
      <c r="Q73" s="198" t="s">
        <v>343</v>
      </c>
      <c r="R73" s="198" t="s">
        <v>343</v>
      </c>
      <c r="S73" s="198" t="s">
        <v>343</v>
      </c>
      <c r="T73" s="198" t="s">
        <v>343</v>
      </c>
      <c r="U73" s="198" t="s">
        <v>343</v>
      </c>
      <c r="V73" s="198" t="s">
        <v>343</v>
      </c>
      <c r="W73" s="198" t="s">
        <v>343</v>
      </c>
      <c r="X73" s="198" t="s">
        <v>343</v>
      </c>
      <c r="Y73" s="198" t="s">
        <v>343</v>
      </c>
      <c r="Z73" s="198" t="s">
        <v>343</v>
      </c>
      <c r="AA73" s="198" t="s">
        <v>343</v>
      </c>
      <c r="AB73" s="198" t="s">
        <v>343</v>
      </c>
      <c r="AC73" s="198" t="s">
        <v>343</v>
      </c>
      <c r="AD73" s="198" t="s">
        <v>343</v>
      </c>
      <c r="AE73" s="198" t="s">
        <v>343</v>
      </c>
      <c r="AF73" s="199" t="s">
        <v>343</v>
      </c>
    </row>
    <row r="74" spans="2:32" x14ac:dyDescent="0.2">
      <c r="B74" s="200">
        <f>'DADOS-Campanha'!$J$23</f>
        <v>0.75</v>
      </c>
      <c r="C74" s="200">
        <f>B74+$C$1</f>
        <v>0.79166666666666663</v>
      </c>
      <c r="D74" s="271">
        <f>HOUR(B74)+HOUR($C$1)</f>
        <v>19</v>
      </c>
      <c r="E74" s="202" t="s">
        <v>339</v>
      </c>
      <c r="F74" s="203" t="s">
        <v>356</v>
      </c>
      <c r="G74" s="644"/>
      <c r="H74" s="644"/>
      <c r="I74" s="644"/>
      <c r="J74" s="644"/>
      <c r="K74" s="644"/>
      <c r="L74" s="644"/>
      <c r="M74" s="644"/>
      <c r="N74" s="644"/>
      <c r="O74" s="644"/>
      <c r="P74" s="644"/>
      <c r="Q74" s="644"/>
      <c r="R74" s="644"/>
      <c r="S74" s="644"/>
      <c r="T74" s="644"/>
      <c r="U74" s="644"/>
      <c r="V74" s="644"/>
      <c r="W74" s="644"/>
      <c r="X74" s="644"/>
      <c r="Y74" s="644"/>
      <c r="Z74" s="644"/>
      <c r="AA74" s="644"/>
      <c r="AB74" s="644"/>
      <c r="AC74" s="644"/>
      <c r="AD74" s="644"/>
      <c r="AE74" s="644"/>
      <c r="AF74" s="204">
        <f t="shared" ref="AF74:AF83" si="17">SUM(G74:AE74)</f>
        <v>0</v>
      </c>
    </row>
    <row r="75" spans="2:32" x14ac:dyDescent="0.2">
      <c r="B75" s="200">
        <f>C74</f>
        <v>0.79166666666666663</v>
      </c>
      <c r="C75" s="200">
        <f>B75+$C$1</f>
        <v>0.83333333333333326</v>
      </c>
      <c r="D75" s="271">
        <f t="shared" ref="D75:D97" si="18">HOUR(B75)+HOUR($C$1)</f>
        <v>20</v>
      </c>
      <c r="E75" s="202" t="s">
        <v>339</v>
      </c>
      <c r="F75" s="203" t="s">
        <v>356</v>
      </c>
      <c r="G75" s="644"/>
      <c r="H75" s="644"/>
      <c r="I75" s="644"/>
      <c r="J75" s="644"/>
      <c r="K75" s="644"/>
      <c r="L75" s="644"/>
      <c r="M75" s="644"/>
      <c r="N75" s="644"/>
      <c r="O75" s="644"/>
      <c r="P75" s="644"/>
      <c r="Q75" s="644"/>
      <c r="R75" s="644"/>
      <c r="S75" s="644"/>
      <c r="T75" s="644"/>
      <c r="U75" s="644"/>
      <c r="V75" s="644"/>
      <c r="W75" s="644"/>
      <c r="X75" s="644"/>
      <c r="Y75" s="644"/>
      <c r="Z75" s="644"/>
      <c r="AA75" s="644"/>
      <c r="AB75" s="644"/>
      <c r="AC75" s="644"/>
      <c r="AD75" s="644"/>
      <c r="AE75" s="644"/>
      <c r="AF75" s="204">
        <f t="shared" si="17"/>
        <v>0</v>
      </c>
    </row>
    <row r="76" spans="2:32" x14ac:dyDescent="0.2">
      <c r="B76" s="200">
        <f t="shared" ref="B76:B97" si="19">C75</f>
        <v>0.83333333333333326</v>
      </c>
      <c r="C76" s="200">
        <f t="shared" ref="C76:C97" si="20">B76+$C$1</f>
        <v>0.87499999999999989</v>
      </c>
      <c r="D76" s="271">
        <f t="shared" si="18"/>
        <v>21</v>
      </c>
      <c r="E76" s="202" t="s">
        <v>339</v>
      </c>
      <c r="F76" s="203" t="s">
        <v>356</v>
      </c>
      <c r="G76" s="644"/>
      <c r="H76" s="644"/>
      <c r="I76" s="644"/>
      <c r="J76" s="644"/>
      <c r="K76" s="644"/>
      <c r="L76" s="644"/>
      <c r="M76" s="644"/>
      <c r="N76" s="644"/>
      <c r="O76" s="644"/>
      <c r="P76" s="644"/>
      <c r="Q76" s="644"/>
      <c r="R76" s="644"/>
      <c r="S76" s="644"/>
      <c r="T76" s="644"/>
      <c r="U76" s="644"/>
      <c r="V76" s="644"/>
      <c r="W76" s="644"/>
      <c r="X76" s="644"/>
      <c r="Y76" s="644"/>
      <c r="Z76" s="644"/>
      <c r="AA76" s="644"/>
      <c r="AB76" s="644"/>
      <c r="AC76" s="644"/>
      <c r="AD76" s="644"/>
      <c r="AE76" s="644"/>
      <c r="AF76" s="204">
        <f t="shared" si="17"/>
        <v>0</v>
      </c>
    </row>
    <row r="77" spans="2:32" x14ac:dyDescent="0.2">
      <c r="B77" s="200">
        <f t="shared" si="19"/>
        <v>0.87499999999999989</v>
      </c>
      <c r="C77" s="200">
        <f t="shared" si="20"/>
        <v>0.91666666666666652</v>
      </c>
      <c r="D77" s="271">
        <f t="shared" si="18"/>
        <v>22</v>
      </c>
      <c r="E77" s="202" t="s">
        <v>361</v>
      </c>
      <c r="F77" s="203" t="s">
        <v>358</v>
      </c>
      <c r="G77" s="644"/>
      <c r="H77" s="644"/>
      <c r="I77" s="644"/>
      <c r="J77" s="644"/>
      <c r="K77" s="644"/>
      <c r="L77" s="644"/>
      <c r="M77" s="644"/>
      <c r="N77" s="644"/>
      <c r="O77" s="644"/>
      <c r="P77" s="644"/>
      <c r="Q77" s="644"/>
      <c r="R77" s="644"/>
      <c r="S77" s="644"/>
      <c r="T77" s="644"/>
      <c r="U77" s="644"/>
      <c r="V77" s="644"/>
      <c r="W77" s="644"/>
      <c r="X77" s="644"/>
      <c r="Y77" s="644"/>
      <c r="Z77" s="644"/>
      <c r="AA77" s="644"/>
      <c r="AB77" s="644"/>
      <c r="AC77" s="644"/>
      <c r="AD77" s="644"/>
      <c r="AE77" s="644"/>
      <c r="AF77" s="204">
        <f t="shared" si="17"/>
        <v>0</v>
      </c>
    </row>
    <row r="78" spans="2:32" x14ac:dyDescent="0.2">
      <c r="B78" s="200">
        <f t="shared" si="19"/>
        <v>0.91666666666666652</v>
      </c>
      <c r="C78" s="200">
        <f t="shared" si="20"/>
        <v>0.95833333333333315</v>
      </c>
      <c r="D78" s="271">
        <f t="shared" si="18"/>
        <v>23</v>
      </c>
      <c r="E78" s="202" t="s">
        <v>340</v>
      </c>
      <c r="F78" s="203" t="s">
        <v>358</v>
      </c>
      <c r="G78" s="644"/>
      <c r="H78" s="644"/>
      <c r="I78" s="644"/>
      <c r="J78" s="644"/>
      <c r="K78" s="644"/>
      <c r="L78" s="644"/>
      <c r="M78" s="644"/>
      <c r="N78" s="644"/>
      <c r="O78" s="644"/>
      <c r="P78" s="644"/>
      <c r="Q78" s="644"/>
      <c r="R78" s="644"/>
      <c r="S78" s="644"/>
      <c r="T78" s="644"/>
      <c r="U78" s="644"/>
      <c r="V78" s="644"/>
      <c r="W78" s="644"/>
      <c r="X78" s="644"/>
      <c r="Y78" s="644"/>
      <c r="Z78" s="644"/>
      <c r="AA78" s="644"/>
      <c r="AB78" s="644"/>
      <c r="AC78" s="644"/>
      <c r="AD78" s="644"/>
      <c r="AE78" s="644"/>
      <c r="AF78" s="204">
        <f t="shared" si="17"/>
        <v>0</v>
      </c>
    </row>
    <row r="79" spans="2:32" x14ac:dyDescent="0.2">
      <c r="B79" s="200">
        <f t="shared" si="19"/>
        <v>0.95833333333333315</v>
      </c>
      <c r="C79" s="200">
        <f t="shared" si="20"/>
        <v>0.99999999999999978</v>
      </c>
      <c r="D79" s="271">
        <f t="shared" si="18"/>
        <v>24</v>
      </c>
      <c r="E79" s="202" t="s">
        <v>340</v>
      </c>
      <c r="F79" s="203" t="s">
        <v>358</v>
      </c>
      <c r="G79" s="644"/>
      <c r="H79" s="644"/>
      <c r="I79" s="644"/>
      <c r="J79" s="644"/>
      <c r="K79" s="644"/>
      <c r="L79" s="644"/>
      <c r="M79" s="644"/>
      <c r="N79" s="644"/>
      <c r="O79" s="644"/>
      <c r="P79" s="644"/>
      <c r="Q79" s="644"/>
      <c r="R79" s="644"/>
      <c r="S79" s="644"/>
      <c r="T79" s="644"/>
      <c r="U79" s="644"/>
      <c r="V79" s="644"/>
      <c r="W79" s="644"/>
      <c r="X79" s="644"/>
      <c r="Y79" s="644"/>
      <c r="Z79" s="644"/>
      <c r="AA79" s="644"/>
      <c r="AB79" s="644"/>
      <c r="AC79" s="644"/>
      <c r="AD79" s="644"/>
      <c r="AE79" s="644"/>
      <c r="AF79" s="204">
        <f t="shared" si="17"/>
        <v>0</v>
      </c>
    </row>
    <row r="80" spans="2:32" x14ac:dyDescent="0.2">
      <c r="B80" s="200">
        <f t="shared" si="19"/>
        <v>0.99999999999999978</v>
      </c>
      <c r="C80" s="200">
        <f t="shared" si="20"/>
        <v>1.0416666666666665</v>
      </c>
      <c r="D80" s="271">
        <f t="shared" si="18"/>
        <v>1</v>
      </c>
      <c r="E80" s="202" t="s">
        <v>340</v>
      </c>
      <c r="F80" s="203" t="s">
        <v>358</v>
      </c>
      <c r="G80" s="644"/>
      <c r="H80" s="644"/>
      <c r="I80" s="644"/>
      <c r="J80" s="644"/>
      <c r="K80" s="644"/>
      <c r="L80" s="644"/>
      <c r="M80" s="644"/>
      <c r="N80" s="644"/>
      <c r="O80" s="644"/>
      <c r="P80" s="644"/>
      <c r="Q80" s="644"/>
      <c r="R80" s="644"/>
      <c r="S80" s="644"/>
      <c r="T80" s="644"/>
      <c r="U80" s="644"/>
      <c r="V80" s="644"/>
      <c r="W80" s="644"/>
      <c r="X80" s="644"/>
      <c r="Y80" s="644"/>
      <c r="Z80" s="644"/>
      <c r="AA80" s="644"/>
      <c r="AB80" s="644"/>
      <c r="AC80" s="644"/>
      <c r="AD80" s="644"/>
      <c r="AE80" s="644"/>
      <c r="AF80" s="204">
        <f t="shared" si="17"/>
        <v>0</v>
      </c>
    </row>
    <row r="81" spans="2:32" x14ac:dyDescent="0.2">
      <c r="B81" s="200">
        <f t="shared" si="19"/>
        <v>1.0416666666666665</v>
      </c>
      <c r="C81" s="200">
        <f t="shared" si="20"/>
        <v>1.0833333333333333</v>
      </c>
      <c r="D81" s="271">
        <f t="shared" si="18"/>
        <v>2</v>
      </c>
      <c r="E81" s="202" t="s">
        <v>340</v>
      </c>
      <c r="F81" s="203" t="s">
        <v>358</v>
      </c>
      <c r="G81" s="644"/>
      <c r="H81" s="644"/>
      <c r="I81" s="644"/>
      <c r="J81" s="644"/>
      <c r="K81" s="644"/>
      <c r="L81" s="644"/>
      <c r="M81" s="644"/>
      <c r="N81" s="644"/>
      <c r="O81" s="644"/>
      <c r="P81" s="644"/>
      <c r="Q81" s="644"/>
      <c r="R81" s="644"/>
      <c r="S81" s="644"/>
      <c r="T81" s="644"/>
      <c r="U81" s="644"/>
      <c r="V81" s="644"/>
      <c r="W81" s="644"/>
      <c r="X81" s="644"/>
      <c r="Y81" s="644"/>
      <c r="Z81" s="644"/>
      <c r="AA81" s="644"/>
      <c r="AB81" s="644"/>
      <c r="AC81" s="644"/>
      <c r="AD81" s="644"/>
      <c r="AE81" s="644"/>
      <c r="AF81" s="204">
        <f t="shared" si="17"/>
        <v>0</v>
      </c>
    </row>
    <row r="82" spans="2:32" x14ac:dyDescent="0.2">
      <c r="B82" s="200">
        <f t="shared" si="19"/>
        <v>1.0833333333333333</v>
      </c>
      <c r="C82" s="200">
        <f t="shared" si="20"/>
        <v>1.125</v>
      </c>
      <c r="D82" s="271">
        <f t="shared" si="18"/>
        <v>3</v>
      </c>
      <c r="E82" s="202" t="s">
        <v>340</v>
      </c>
      <c r="F82" s="203" t="s">
        <v>358</v>
      </c>
      <c r="G82" s="644"/>
      <c r="H82" s="644"/>
      <c r="I82" s="644"/>
      <c r="J82" s="644"/>
      <c r="K82" s="644"/>
      <c r="L82" s="644"/>
      <c r="M82" s="644"/>
      <c r="N82" s="644"/>
      <c r="O82" s="644"/>
      <c r="P82" s="644"/>
      <c r="Q82" s="644"/>
      <c r="R82" s="644"/>
      <c r="S82" s="644"/>
      <c r="T82" s="644"/>
      <c r="U82" s="644"/>
      <c r="V82" s="644"/>
      <c r="W82" s="644"/>
      <c r="X82" s="644"/>
      <c r="Y82" s="644"/>
      <c r="Z82" s="644"/>
      <c r="AA82" s="644"/>
      <c r="AB82" s="644"/>
      <c r="AC82" s="644"/>
      <c r="AD82" s="644"/>
      <c r="AE82" s="644"/>
      <c r="AF82" s="204">
        <f t="shared" si="17"/>
        <v>0</v>
      </c>
    </row>
    <row r="83" spans="2:32" x14ac:dyDescent="0.2">
      <c r="B83" s="200">
        <f t="shared" si="19"/>
        <v>1.125</v>
      </c>
      <c r="C83" s="200">
        <f t="shared" si="20"/>
        <v>1.1666666666666667</v>
      </c>
      <c r="D83" s="271">
        <f t="shared" si="18"/>
        <v>4</v>
      </c>
      <c r="E83" s="202" t="s">
        <v>340</v>
      </c>
      <c r="F83" s="203" t="s">
        <v>358</v>
      </c>
      <c r="G83" s="644"/>
      <c r="H83" s="644"/>
      <c r="I83" s="644"/>
      <c r="J83" s="644"/>
      <c r="K83" s="644"/>
      <c r="L83" s="644"/>
      <c r="M83" s="644"/>
      <c r="N83" s="644"/>
      <c r="O83" s="644"/>
      <c r="P83" s="644"/>
      <c r="Q83" s="644"/>
      <c r="R83" s="644"/>
      <c r="S83" s="644"/>
      <c r="T83" s="644"/>
      <c r="U83" s="644"/>
      <c r="V83" s="644"/>
      <c r="W83" s="644"/>
      <c r="X83" s="644"/>
      <c r="Y83" s="644"/>
      <c r="Z83" s="644"/>
      <c r="AA83" s="644"/>
      <c r="AB83" s="644"/>
      <c r="AC83" s="644"/>
      <c r="AD83" s="644"/>
      <c r="AE83" s="644"/>
      <c r="AF83" s="204">
        <f t="shared" si="17"/>
        <v>0</v>
      </c>
    </row>
    <row r="84" spans="2:32" x14ac:dyDescent="0.2">
      <c r="B84" s="200">
        <f t="shared" si="19"/>
        <v>1.1666666666666667</v>
      </c>
      <c r="C84" s="200">
        <f t="shared" si="20"/>
        <v>1.2083333333333335</v>
      </c>
      <c r="D84" s="271">
        <f t="shared" si="18"/>
        <v>5</v>
      </c>
      <c r="E84" s="202" t="s">
        <v>340</v>
      </c>
      <c r="F84" s="203" t="s">
        <v>358</v>
      </c>
      <c r="G84" s="644"/>
      <c r="H84" s="644"/>
      <c r="I84" s="644"/>
      <c r="J84" s="644"/>
      <c r="K84" s="644"/>
      <c r="L84" s="644"/>
      <c r="M84" s="644"/>
      <c r="N84" s="644"/>
      <c r="O84" s="644"/>
      <c r="P84" s="644"/>
      <c r="Q84" s="644"/>
      <c r="R84" s="644"/>
      <c r="S84" s="644"/>
      <c r="T84" s="644"/>
      <c r="U84" s="644"/>
      <c r="V84" s="644"/>
      <c r="W84" s="644"/>
      <c r="X84" s="644"/>
      <c r="Y84" s="644"/>
      <c r="Z84" s="644"/>
      <c r="AA84" s="644"/>
      <c r="AB84" s="644"/>
      <c r="AC84" s="644"/>
      <c r="AD84" s="644"/>
      <c r="AE84" s="644"/>
      <c r="AF84" s="204">
        <f t="shared" ref="AF84:AF97" si="21">SUM(G84:AE84)</f>
        <v>0</v>
      </c>
    </row>
    <row r="85" spans="2:32" x14ac:dyDescent="0.2">
      <c r="B85" s="200">
        <f t="shared" si="19"/>
        <v>1.2083333333333335</v>
      </c>
      <c r="C85" s="200">
        <f t="shared" si="20"/>
        <v>1.2500000000000002</v>
      </c>
      <c r="D85" s="271">
        <f t="shared" si="18"/>
        <v>6</v>
      </c>
      <c r="E85" s="202" t="s">
        <v>340</v>
      </c>
      <c r="F85" s="203" t="s">
        <v>358</v>
      </c>
      <c r="G85" s="644"/>
      <c r="H85" s="644"/>
      <c r="I85" s="644"/>
      <c r="J85" s="644"/>
      <c r="K85" s="644"/>
      <c r="L85" s="644"/>
      <c r="M85" s="644"/>
      <c r="N85" s="644"/>
      <c r="O85" s="644"/>
      <c r="P85" s="644"/>
      <c r="Q85" s="644"/>
      <c r="R85" s="644"/>
      <c r="S85" s="644"/>
      <c r="T85" s="644"/>
      <c r="U85" s="644"/>
      <c r="V85" s="644"/>
      <c r="W85" s="644"/>
      <c r="X85" s="644"/>
      <c r="Y85" s="644"/>
      <c r="Z85" s="644"/>
      <c r="AA85" s="644"/>
      <c r="AB85" s="644"/>
      <c r="AC85" s="644"/>
      <c r="AD85" s="644"/>
      <c r="AE85" s="644"/>
      <c r="AF85" s="204">
        <f t="shared" si="21"/>
        <v>0</v>
      </c>
    </row>
    <row r="86" spans="2:32" x14ac:dyDescent="0.2">
      <c r="B86" s="200">
        <f t="shared" si="19"/>
        <v>1.2500000000000002</v>
      </c>
      <c r="C86" s="200">
        <f t="shared" si="20"/>
        <v>1.291666666666667</v>
      </c>
      <c r="D86" s="271">
        <f t="shared" si="18"/>
        <v>7</v>
      </c>
      <c r="E86" s="202" t="s">
        <v>340</v>
      </c>
      <c r="F86" s="203" t="s">
        <v>358</v>
      </c>
      <c r="G86" s="644"/>
      <c r="H86" s="644"/>
      <c r="I86" s="644"/>
      <c r="J86" s="644"/>
      <c r="K86" s="644"/>
      <c r="L86" s="644"/>
      <c r="M86" s="644"/>
      <c r="N86" s="644"/>
      <c r="O86" s="644"/>
      <c r="P86" s="644"/>
      <c r="Q86" s="644"/>
      <c r="R86" s="644"/>
      <c r="S86" s="644"/>
      <c r="T86" s="644"/>
      <c r="U86" s="644"/>
      <c r="V86" s="644"/>
      <c r="W86" s="644"/>
      <c r="X86" s="644"/>
      <c r="Y86" s="644"/>
      <c r="Z86" s="644"/>
      <c r="AA86" s="644"/>
      <c r="AB86" s="644"/>
      <c r="AC86" s="644"/>
      <c r="AD86" s="644"/>
      <c r="AE86" s="644"/>
      <c r="AF86" s="204">
        <f t="shared" si="21"/>
        <v>0</v>
      </c>
    </row>
    <row r="87" spans="2:32" x14ac:dyDescent="0.2">
      <c r="B87" s="200">
        <f t="shared" si="19"/>
        <v>1.291666666666667</v>
      </c>
      <c r="C87" s="200">
        <f t="shared" si="20"/>
        <v>1.3333333333333337</v>
      </c>
      <c r="D87" s="271">
        <f t="shared" si="18"/>
        <v>8</v>
      </c>
      <c r="E87" s="202" t="s">
        <v>340</v>
      </c>
      <c r="F87" s="203" t="s">
        <v>358</v>
      </c>
      <c r="G87" s="644"/>
      <c r="H87" s="644"/>
      <c r="I87" s="644"/>
      <c r="J87" s="644"/>
      <c r="K87" s="644"/>
      <c r="L87" s="644"/>
      <c r="M87" s="644"/>
      <c r="N87" s="644"/>
      <c r="O87" s="644"/>
      <c r="P87" s="644"/>
      <c r="Q87" s="644"/>
      <c r="R87" s="644"/>
      <c r="S87" s="644"/>
      <c r="T87" s="644"/>
      <c r="U87" s="644"/>
      <c r="V87" s="644"/>
      <c r="W87" s="644"/>
      <c r="X87" s="644"/>
      <c r="Y87" s="644"/>
      <c r="Z87" s="644"/>
      <c r="AA87" s="644"/>
      <c r="AB87" s="644"/>
      <c r="AC87" s="644"/>
      <c r="AD87" s="644"/>
      <c r="AE87" s="644"/>
      <c r="AF87" s="204">
        <f t="shared" si="21"/>
        <v>0</v>
      </c>
    </row>
    <row r="88" spans="2:32" x14ac:dyDescent="0.2">
      <c r="B88" s="200">
        <f t="shared" si="19"/>
        <v>1.3333333333333337</v>
      </c>
      <c r="C88" s="200">
        <f t="shared" si="20"/>
        <v>1.3750000000000004</v>
      </c>
      <c r="D88" s="271">
        <f t="shared" si="18"/>
        <v>9</v>
      </c>
      <c r="E88" s="202" t="s">
        <v>340</v>
      </c>
      <c r="F88" s="203" t="s">
        <v>358</v>
      </c>
      <c r="G88" s="644"/>
      <c r="H88" s="644"/>
      <c r="I88" s="644"/>
      <c r="J88" s="644"/>
      <c r="K88" s="644"/>
      <c r="L88" s="644"/>
      <c r="M88" s="644"/>
      <c r="N88" s="644"/>
      <c r="O88" s="644"/>
      <c r="P88" s="644"/>
      <c r="Q88" s="644"/>
      <c r="R88" s="644"/>
      <c r="S88" s="644"/>
      <c r="T88" s="644"/>
      <c r="U88" s="644"/>
      <c r="V88" s="644"/>
      <c r="W88" s="644"/>
      <c r="X88" s="644"/>
      <c r="Y88" s="644"/>
      <c r="Z88" s="644"/>
      <c r="AA88" s="644"/>
      <c r="AB88" s="644"/>
      <c r="AC88" s="644"/>
      <c r="AD88" s="644"/>
      <c r="AE88" s="644"/>
      <c r="AF88" s="204">
        <f t="shared" si="21"/>
        <v>0</v>
      </c>
    </row>
    <row r="89" spans="2:32" x14ac:dyDescent="0.2">
      <c r="B89" s="200">
        <f t="shared" si="19"/>
        <v>1.3750000000000004</v>
      </c>
      <c r="C89" s="200">
        <f t="shared" si="20"/>
        <v>1.4166666666666672</v>
      </c>
      <c r="D89" s="271">
        <f t="shared" si="18"/>
        <v>10</v>
      </c>
      <c r="E89" s="202" t="s">
        <v>340</v>
      </c>
      <c r="F89" s="203" t="s">
        <v>358</v>
      </c>
      <c r="G89" s="644"/>
      <c r="H89" s="644"/>
      <c r="I89" s="644"/>
      <c r="J89" s="644"/>
      <c r="K89" s="644"/>
      <c r="L89" s="644"/>
      <c r="M89" s="644"/>
      <c r="N89" s="644"/>
      <c r="O89" s="644"/>
      <c r="P89" s="644"/>
      <c r="Q89" s="644"/>
      <c r="R89" s="644"/>
      <c r="S89" s="644"/>
      <c r="T89" s="644"/>
      <c r="U89" s="644"/>
      <c r="V89" s="644"/>
      <c r="W89" s="644"/>
      <c r="X89" s="644"/>
      <c r="Y89" s="644"/>
      <c r="Z89" s="644"/>
      <c r="AA89" s="644"/>
      <c r="AB89" s="644"/>
      <c r="AC89" s="644"/>
      <c r="AD89" s="644"/>
      <c r="AE89" s="644"/>
      <c r="AF89" s="204">
        <f t="shared" si="21"/>
        <v>0</v>
      </c>
    </row>
    <row r="90" spans="2:32" x14ac:dyDescent="0.2">
      <c r="B90" s="200">
        <f t="shared" si="19"/>
        <v>1.4166666666666672</v>
      </c>
      <c r="C90" s="200">
        <f t="shared" si="20"/>
        <v>1.4583333333333339</v>
      </c>
      <c r="D90" s="271">
        <f t="shared" si="18"/>
        <v>11</v>
      </c>
      <c r="E90" s="202" t="s">
        <v>340</v>
      </c>
      <c r="F90" s="203" t="s">
        <v>358</v>
      </c>
      <c r="G90" s="644"/>
      <c r="H90" s="644"/>
      <c r="I90" s="644"/>
      <c r="J90" s="644"/>
      <c r="K90" s="644"/>
      <c r="L90" s="644"/>
      <c r="M90" s="644"/>
      <c r="N90" s="644"/>
      <c r="O90" s="644"/>
      <c r="P90" s="644"/>
      <c r="Q90" s="644"/>
      <c r="R90" s="644"/>
      <c r="S90" s="644"/>
      <c r="T90" s="644"/>
      <c r="U90" s="644"/>
      <c r="V90" s="644"/>
      <c r="W90" s="644"/>
      <c r="X90" s="644"/>
      <c r="Y90" s="644"/>
      <c r="Z90" s="644"/>
      <c r="AA90" s="644"/>
      <c r="AB90" s="644"/>
      <c r="AC90" s="644"/>
      <c r="AD90" s="644"/>
      <c r="AE90" s="644"/>
      <c r="AF90" s="204">
        <f t="shared" si="21"/>
        <v>0</v>
      </c>
    </row>
    <row r="91" spans="2:32" x14ac:dyDescent="0.2">
      <c r="B91" s="200">
        <f t="shared" si="19"/>
        <v>1.4583333333333339</v>
      </c>
      <c r="C91" s="200">
        <f t="shared" si="20"/>
        <v>1.5000000000000007</v>
      </c>
      <c r="D91" s="271">
        <f t="shared" si="18"/>
        <v>12</v>
      </c>
      <c r="E91" s="202" t="s">
        <v>340</v>
      </c>
      <c r="F91" s="203" t="s">
        <v>358</v>
      </c>
      <c r="G91" s="644"/>
      <c r="H91" s="644"/>
      <c r="I91" s="644"/>
      <c r="J91" s="644"/>
      <c r="K91" s="644"/>
      <c r="L91" s="644"/>
      <c r="M91" s="644"/>
      <c r="N91" s="644"/>
      <c r="O91" s="644"/>
      <c r="P91" s="644"/>
      <c r="Q91" s="644"/>
      <c r="R91" s="644"/>
      <c r="S91" s="644"/>
      <c r="T91" s="644"/>
      <c r="U91" s="644"/>
      <c r="V91" s="644"/>
      <c r="W91" s="644"/>
      <c r="X91" s="644"/>
      <c r="Y91" s="644"/>
      <c r="Z91" s="644"/>
      <c r="AA91" s="644"/>
      <c r="AB91" s="644"/>
      <c r="AC91" s="644"/>
      <c r="AD91" s="644"/>
      <c r="AE91" s="644"/>
      <c r="AF91" s="204">
        <f t="shared" si="21"/>
        <v>0</v>
      </c>
    </row>
    <row r="92" spans="2:32" x14ac:dyDescent="0.2">
      <c r="B92" s="200">
        <f t="shared" si="19"/>
        <v>1.5000000000000007</v>
      </c>
      <c r="C92" s="200">
        <f t="shared" si="20"/>
        <v>1.5416666666666674</v>
      </c>
      <c r="D92" s="271">
        <f t="shared" si="18"/>
        <v>13</v>
      </c>
      <c r="E92" s="202" t="s">
        <v>340</v>
      </c>
      <c r="F92" s="203" t="s">
        <v>358</v>
      </c>
      <c r="G92" s="644"/>
      <c r="H92" s="644"/>
      <c r="I92" s="644"/>
      <c r="J92" s="644"/>
      <c r="K92" s="644"/>
      <c r="L92" s="644"/>
      <c r="M92" s="644"/>
      <c r="N92" s="644"/>
      <c r="O92" s="644"/>
      <c r="P92" s="644"/>
      <c r="Q92" s="644"/>
      <c r="R92" s="644"/>
      <c r="S92" s="644"/>
      <c r="T92" s="644"/>
      <c r="U92" s="644"/>
      <c r="V92" s="644"/>
      <c r="W92" s="644"/>
      <c r="X92" s="644"/>
      <c r="Y92" s="644"/>
      <c r="Z92" s="644"/>
      <c r="AA92" s="644"/>
      <c r="AB92" s="644"/>
      <c r="AC92" s="644"/>
      <c r="AD92" s="644"/>
      <c r="AE92" s="644"/>
      <c r="AF92" s="204">
        <f t="shared" si="21"/>
        <v>0</v>
      </c>
    </row>
    <row r="93" spans="2:32" x14ac:dyDescent="0.2">
      <c r="B93" s="200">
        <f t="shared" si="19"/>
        <v>1.5416666666666674</v>
      </c>
      <c r="C93" s="200">
        <f t="shared" si="20"/>
        <v>1.5833333333333341</v>
      </c>
      <c r="D93" s="271">
        <f t="shared" si="18"/>
        <v>14</v>
      </c>
      <c r="E93" s="202" t="s">
        <v>340</v>
      </c>
      <c r="F93" s="203" t="s">
        <v>358</v>
      </c>
      <c r="G93" s="644"/>
      <c r="H93" s="644"/>
      <c r="I93" s="644"/>
      <c r="J93" s="644"/>
      <c r="K93" s="644"/>
      <c r="L93" s="644"/>
      <c r="M93" s="644"/>
      <c r="N93" s="644"/>
      <c r="O93" s="644"/>
      <c r="P93" s="644"/>
      <c r="Q93" s="644"/>
      <c r="R93" s="644"/>
      <c r="S93" s="644"/>
      <c r="T93" s="644"/>
      <c r="U93" s="644"/>
      <c r="V93" s="644"/>
      <c r="W93" s="644"/>
      <c r="X93" s="644"/>
      <c r="Y93" s="644"/>
      <c r="Z93" s="644"/>
      <c r="AA93" s="644"/>
      <c r="AB93" s="644"/>
      <c r="AC93" s="644"/>
      <c r="AD93" s="644"/>
      <c r="AE93" s="644"/>
      <c r="AF93" s="204">
        <f t="shared" si="21"/>
        <v>0</v>
      </c>
    </row>
    <row r="94" spans="2:32" x14ac:dyDescent="0.2">
      <c r="B94" s="200">
        <f t="shared" si="19"/>
        <v>1.5833333333333341</v>
      </c>
      <c r="C94" s="200">
        <f t="shared" si="20"/>
        <v>1.6250000000000009</v>
      </c>
      <c r="D94" s="271">
        <f t="shared" si="18"/>
        <v>15</v>
      </c>
      <c r="E94" s="202" t="s">
        <v>340</v>
      </c>
      <c r="F94" s="203" t="s">
        <v>358</v>
      </c>
      <c r="G94" s="644"/>
      <c r="H94" s="644"/>
      <c r="I94" s="644"/>
      <c r="J94" s="644"/>
      <c r="K94" s="644"/>
      <c r="L94" s="644"/>
      <c r="M94" s="644"/>
      <c r="N94" s="644"/>
      <c r="O94" s="644"/>
      <c r="P94" s="644"/>
      <c r="Q94" s="644"/>
      <c r="R94" s="644"/>
      <c r="S94" s="644"/>
      <c r="T94" s="644"/>
      <c r="U94" s="644"/>
      <c r="V94" s="644"/>
      <c r="W94" s="644"/>
      <c r="X94" s="644"/>
      <c r="Y94" s="644"/>
      <c r="Z94" s="644"/>
      <c r="AA94" s="644"/>
      <c r="AB94" s="644"/>
      <c r="AC94" s="644"/>
      <c r="AD94" s="644"/>
      <c r="AE94" s="644"/>
      <c r="AF94" s="204">
        <f t="shared" si="21"/>
        <v>0</v>
      </c>
    </row>
    <row r="95" spans="2:32" x14ac:dyDescent="0.2">
      <c r="B95" s="200">
        <f t="shared" si="19"/>
        <v>1.6250000000000009</v>
      </c>
      <c r="C95" s="200">
        <f t="shared" si="20"/>
        <v>1.6666666666666676</v>
      </c>
      <c r="D95" s="271">
        <f t="shared" si="18"/>
        <v>16</v>
      </c>
      <c r="E95" s="202" t="s">
        <v>340</v>
      </c>
      <c r="F95" s="203" t="s">
        <v>358</v>
      </c>
      <c r="G95" s="644"/>
      <c r="H95" s="644"/>
      <c r="I95" s="644"/>
      <c r="J95" s="644"/>
      <c r="K95" s="644"/>
      <c r="L95" s="644"/>
      <c r="M95" s="644"/>
      <c r="N95" s="644"/>
      <c r="O95" s="644"/>
      <c r="P95" s="644"/>
      <c r="Q95" s="644"/>
      <c r="R95" s="644"/>
      <c r="S95" s="644"/>
      <c r="T95" s="644"/>
      <c r="U95" s="644"/>
      <c r="V95" s="644"/>
      <c r="W95" s="644"/>
      <c r="X95" s="644"/>
      <c r="Y95" s="644"/>
      <c r="Z95" s="644"/>
      <c r="AA95" s="644"/>
      <c r="AB95" s="644"/>
      <c r="AC95" s="644"/>
      <c r="AD95" s="644"/>
      <c r="AE95" s="644"/>
      <c r="AF95" s="204">
        <f t="shared" si="21"/>
        <v>0</v>
      </c>
    </row>
    <row r="96" spans="2:32" x14ac:dyDescent="0.2">
      <c r="B96" s="200">
        <f t="shared" si="19"/>
        <v>1.6666666666666676</v>
      </c>
      <c r="C96" s="200">
        <f t="shared" si="20"/>
        <v>1.7083333333333344</v>
      </c>
      <c r="D96" s="271">
        <f t="shared" si="18"/>
        <v>17</v>
      </c>
      <c r="E96" s="202" t="s">
        <v>340</v>
      </c>
      <c r="F96" s="203" t="s">
        <v>358</v>
      </c>
      <c r="G96" s="644"/>
      <c r="H96" s="644"/>
      <c r="I96" s="644"/>
      <c r="J96" s="644"/>
      <c r="K96" s="644"/>
      <c r="L96" s="644"/>
      <c r="M96" s="644"/>
      <c r="N96" s="644"/>
      <c r="O96" s="644"/>
      <c r="P96" s="644"/>
      <c r="Q96" s="644"/>
      <c r="R96" s="644"/>
      <c r="S96" s="644"/>
      <c r="T96" s="644"/>
      <c r="U96" s="644"/>
      <c r="V96" s="644"/>
      <c r="W96" s="644"/>
      <c r="X96" s="644"/>
      <c r="Y96" s="644"/>
      <c r="Z96" s="644"/>
      <c r="AA96" s="644"/>
      <c r="AB96" s="644"/>
      <c r="AC96" s="644"/>
      <c r="AD96" s="644"/>
      <c r="AE96" s="644"/>
      <c r="AF96" s="204">
        <f t="shared" si="21"/>
        <v>0</v>
      </c>
    </row>
    <row r="97" spans="2:32" x14ac:dyDescent="0.2">
      <c r="B97" s="200">
        <f t="shared" si="19"/>
        <v>1.7083333333333344</v>
      </c>
      <c r="C97" s="200">
        <f t="shared" si="20"/>
        <v>1.7500000000000011</v>
      </c>
      <c r="D97" s="271">
        <f t="shared" si="18"/>
        <v>18</v>
      </c>
      <c r="E97" s="202" t="s">
        <v>361</v>
      </c>
      <c r="F97" s="203" t="s">
        <v>358</v>
      </c>
      <c r="G97" s="644"/>
      <c r="H97" s="644"/>
      <c r="I97" s="644"/>
      <c r="J97" s="644"/>
      <c r="K97" s="644"/>
      <c r="L97" s="644"/>
      <c r="M97" s="644"/>
      <c r="N97" s="644"/>
      <c r="O97" s="644"/>
      <c r="P97" s="644"/>
      <c r="Q97" s="644"/>
      <c r="R97" s="644"/>
      <c r="S97" s="644"/>
      <c r="T97" s="644"/>
      <c r="U97" s="644"/>
      <c r="V97" s="644"/>
      <c r="W97" s="644"/>
      <c r="X97" s="644"/>
      <c r="Y97" s="644"/>
      <c r="Z97" s="644"/>
      <c r="AA97" s="644"/>
      <c r="AB97" s="644"/>
      <c r="AC97" s="644"/>
      <c r="AD97" s="644"/>
      <c r="AE97" s="644"/>
      <c r="AF97" s="204">
        <f t="shared" si="21"/>
        <v>0</v>
      </c>
    </row>
    <row r="98" spans="2:32" x14ac:dyDescent="0.2">
      <c r="B98" s="205"/>
      <c r="C98" s="205" t="s">
        <v>622</v>
      </c>
      <c r="D98" s="205"/>
      <c r="E98" s="205"/>
      <c r="F98" s="205" t="s">
        <v>356</v>
      </c>
      <c r="G98" s="206">
        <f t="shared" ref="G98" si="22">MAX(G74:G76)</f>
        <v>0</v>
      </c>
      <c r="H98" s="206">
        <f t="shared" ref="H98:P98" si="23">MAX(H74:H76)</f>
        <v>0</v>
      </c>
      <c r="I98" s="206">
        <f t="shared" si="23"/>
        <v>0</v>
      </c>
      <c r="J98" s="206">
        <f t="shared" si="23"/>
        <v>0</v>
      </c>
      <c r="K98" s="206">
        <f t="shared" si="23"/>
        <v>0</v>
      </c>
      <c r="L98" s="206">
        <f t="shared" si="23"/>
        <v>0</v>
      </c>
      <c r="M98" s="206">
        <f t="shared" si="23"/>
        <v>0</v>
      </c>
      <c r="N98" s="206">
        <f t="shared" si="23"/>
        <v>0</v>
      </c>
      <c r="O98" s="206">
        <f t="shared" si="23"/>
        <v>0</v>
      </c>
      <c r="P98" s="206">
        <f t="shared" si="23"/>
        <v>0</v>
      </c>
      <c r="Q98" s="206">
        <f t="shared" ref="Q98:AF98" si="24">MAX(Q74:Q76)</f>
        <v>0</v>
      </c>
      <c r="R98" s="206">
        <f t="shared" si="24"/>
        <v>0</v>
      </c>
      <c r="S98" s="206">
        <f t="shared" si="24"/>
        <v>0</v>
      </c>
      <c r="T98" s="206">
        <f t="shared" si="24"/>
        <v>0</v>
      </c>
      <c r="U98" s="206">
        <f t="shared" si="24"/>
        <v>0</v>
      </c>
      <c r="V98" s="206">
        <f t="shared" si="24"/>
        <v>0</v>
      </c>
      <c r="W98" s="206">
        <f t="shared" si="24"/>
        <v>0</v>
      </c>
      <c r="X98" s="206">
        <f t="shared" si="24"/>
        <v>0</v>
      </c>
      <c r="Y98" s="206">
        <f t="shared" si="24"/>
        <v>0</v>
      </c>
      <c r="Z98" s="206">
        <f t="shared" si="24"/>
        <v>0</v>
      </c>
      <c r="AA98" s="206">
        <f t="shared" si="24"/>
        <v>0</v>
      </c>
      <c r="AB98" s="206">
        <f t="shared" si="24"/>
        <v>0</v>
      </c>
      <c r="AC98" s="206">
        <f t="shared" si="24"/>
        <v>0</v>
      </c>
      <c r="AD98" s="206">
        <f t="shared" si="24"/>
        <v>0</v>
      </c>
      <c r="AE98" s="206">
        <f t="shared" si="24"/>
        <v>0</v>
      </c>
      <c r="AF98" s="206">
        <f t="shared" si="24"/>
        <v>0</v>
      </c>
    </row>
    <row r="99" spans="2:32" x14ac:dyDescent="0.2">
      <c r="B99" s="205"/>
      <c r="C99" s="205" t="s">
        <v>622</v>
      </c>
      <c r="D99" s="205"/>
      <c r="E99" s="205"/>
      <c r="F99" s="205" t="s">
        <v>358</v>
      </c>
      <c r="G99" s="206">
        <f t="shared" ref="G99" si="25">MAX(G77:G97)</f>
        <v>0</v>
      </c>
      <c r="H99" s="206">
        <f t="shared" ref="H99:P99" si="26">MAX(H77:H97)</f>
        <v>0</v>
      </c>
      <c r="I99" s="206">
        <f t="shared" si="26"/>
        <v>0</v>
      </c>
      <c r="J99" s="206">
        <f t="shared" si="26"/>
        <v>0</v>
      </c>
      <c r="K99" s="206">
        <f t="shared" si="26"/>
        <v>0</v>
      </c>
      <c r="L99" s="206">
        <f t="shared" si="26"/>
        <v>0</v>
      </c>
      <c r="M99" s="206">
        <f t="shared" si="26"/>
        <v>0</v>
      </c>
      <c r="N99" s="206">
        <f t="shared" si="26"/>
        <v>0</v>
      </c>
      <c r="O99" s="206">
        <f t="shared" si="26"/>
        <v>0</v>
      </c>
      <c r="P99" s="206">
        <f t="shared" si="26"/>
        <v>0</v>
      </c>
      <c r="Q99" s="206">
        <f t="shared" ref="Q99:AF99" si="27">MAX(Q77:Q97)</f>
        <v>0</v>
      </c>
      <c r="R99" s="206">
        <f t="shared" si="27"/>
        <v>0</v>
      </c>
      <c r="S99" s="206">
        <f t="shared" si="27"/>
        <v>0</v>
      </c>
      <c r="T99" s="206">
        <f t="shared" si="27"/>
        <v>0</v>
      </c>
      <c r="U99" s="206">
        <f t="shared" si="27"/>
        <v>0</v>
      </c>
      <c r="V99" s="206">
        <f t="shared" si="27"/>
        <v>0</v>
      </c>
      <c r="W99" s="206">
        <f t="shared" si="27"/>
        <v>0</v>
      </c>
      <c r="X99" s="206">
        <f t="shared" si="27"/>
        <v>0</v>
      </c>
      <c r="Y99" s="206">
        <f t="shared" si="27"/>
        <v>0</v>
      </c>
      <c r="Z99" s="206">
        <f t="shared" si="27"/>
        <v>0</v>
      </c>
      <c r="AA99" s="206">
        <f t="shared" si="27"/>
        <v>0</v>
      </c>
      <c r="AB99" s="206">
        <f t="shared" si="27"/>
        <v>0</v>
      </c>
      <c r="AC99" s="206">
        <f t="shared" si="27"/>
        <v>0</v>
      </c>
      <c r="AD99" s="206">
        <f t="shared" si="27"/>
        <v>0</v>
      </c>
      <c r="AE99" s="206">
        <f t="shared" si="27"/>
        <v>0</v>
      </c>
      <c r="AF99" s="206">
        <f t="shared" si="27"/>
        <v>0</v>
      </c>
    </row>
    <row r="100" spans="2:32" x14ac:dyDescent="0.2">
      <c r="B100" s="205"/>
      <c r="C100" s="205"/>
      <c r="D100" s="205"/>
      <c r="E100" s="205"/>
      <c r="F100" s="205" t="s">
        <v>710</v>
      </c>
      <c r="G100" s="645"/>
      <c r="H100" s="645"/>
      <c r="I100" s="645"/>
      <c r="J100" s="645"/>
      <c r="K100" s="645"/>
      <c r="L100" s="645"/>
      <c r="M100" s="645"/>
      <c r="N100" s="645"/>
      <c r="O100" s="645"/>
      <c r="P100" s="645"/>
      <c r="Q100" s="645"/>
      <c r="R100" s="645"/>
      <c r="S100" s="645"/>
      <c r="T100" s="645"/>
      <c r="U100" s="645"/>
      <c r="V100" s="645"/>
      <c r="W100" s="645"/>
      <c r="X100" s="645"/>
      <c r="Y100" s="645"/>
      <c r="Z100" s="645"/>
      <c r="AA100" s="645"/>
      <c r="AB100" s="645"/>
      <c r="AC100" s="645"/>
      <c r="AD100" s="645"/>
      <c r="AE100" s="645"/>
      <c r="AF100" s="270"/>
    </row>
    <row r="101" spans="2:32" x14ac:dyDescent="0.2">
      <c r="B101" s="205"/>
      <c r="C101" s="205"/>
      <c r="D101" s="205"/>
      <c r="E101" s="205"/>
      <c r="F101" s="205" t="s">
        <v>702</v>
      </c>
      <c r="G101" s="645"/>
      <c r="H101" s="645"/>
      <c r="I101" s="645"/>
      <c r="J101" s="645"/>
      <c r="K101" s="645"/>
      <c r="L101" s="645"/>
      <c r="M101" s="645"/>
      <c r="N101" s="645"/>
      <c r="O101" s="645"/>
      <c r="P101" s="645"/>
      <c r="Q101" s="645"/>
      <c r="R101" s="645"/>
      <c r="S101" s="645"/>
      <c r="T101" s="645"/>
      <c r="U101" s="645"/>
      <c r="V101" s="645"/>
      <c r="W101" s="645"/>
      <c r="X101" s="645"/>
      <c r="Y101" s="645"/>
      <c r="Z101" s="645"/>
      <c r="AA101" s="645"/>
      <c r="AB101" s="645"/>
      <c r="AC101" s="645"/>
      <c r="AD101" s="645"/>
      <c r="AE101" s="645"/>
      <c r="AF101" s="270"/>
    </row>
    <row r="102" spans="2:32" x14ac:dyDescent="0.2">
      <c r="B102" s="205"/>
      <c r="C102" s="205"/>
      <c r="D102" s="205"/>
      <c r="E102" s="205"/>
      <c r="F102" s="205" t="s">
        <v>711</v>
      </c>
      <c r="G102" s="645"/>
      <c r="H102" s="645"/>
      <c r="I102" s="645"/>
      <c r="J102" s="645"/>
      <c r="K102" s="645"/>
      <c r="L102" s="645"/>
      <c r="M102" s="645"/>
      <c r="N102" s="645"/>
      <c r="O102" s="645"/>
      <c r="P102" s="645"/>
      <c r="Q102" s="645"/>
      <c r="R102" s="645"/>
      <c r="S102" s="645"/>
      <c r="T102" s="645"/>
      <c r="U102" s="645"/>
      <c r="V102" s="645"/>
      <c r="W102" s="645"/>
      <c r="X102" s="645"/>
      <c r="Y102" s="645"/>
      <c r="Z102" s="645"/>
      <c r="AA102" s="645"/>
      <c r="AB102" s="645"/>
      <c r="AC102" s="645"/>
      <c r="AD102" s="645"/>
      <c r="AE102" s="645"/>
      <c r="AF102" s="270"/>
    </row>
    <row r="104" spans="2:32" x14ac:dyDescent="0.2">
      <c r="B104" s="803" t="s">
        <v>626</v>
      </c>
      <c r="C104" s="804"/>
      <c r="D104" s="800"/>
      <c r="E104" s="801"/>
      <c r="F104" s="802"/>
      <c r="G104" s="196" t="s">
        <v>627</v>
      </c>
      <c r="H104" s="196" t="s">
        <v>627</v>
      </c>
      <c r="I104" s="196" t="s">
        <v>627</v>
      </c>
      <c r="J104" s="196" t="s">
        <v>627</v>
      </c>
      <c r="K104" s="196" t="s">
        <v>627</v>
      </c>
      <c r="L104" s="196" t="s">
        <v>627</v>
      </c>
      <c r="M104" s="196" t="s">
        <v>627</v>
      </c>
      <c r="N104" s="196" t="s">
        <v>627</v>
      </c>
      <c r="O104" s="196" t="s">
        <v>627</v>
      </c>
      <c r="P104" s="196" t="s">
        <v>627</v>
      </c>
      <c r="Q104" s="196" t="s">
        <v>627</v>
      </c>
      <c r="R104" s="196" t="s">
        <v>627</v>
      </c>
      <c r="S104" s="196" t="s">
        <v>627</v>
      </c>
      <c r="T104" s="196" t="s">
        <v>627</v>
      </c>
      <c r="U104" s="196" t="s">
        <v>627</v>
      </c>
      <c r="V104" s="196" t="s">
        <v>627</v>
      </c>
      <c r="W104" s="196" t="s">
        <v>627</v>
      </c>
      <c r="X104" s="196" t="s">
        <v>627</v>
      </c>
      <c r="Y104" s="196" t="s">
        <v>627</v>
      </c>
      <c r="Z104" s="196" t="s">
        <v>627</v>
      </c>
      <c r="AA104" s="196" t="s">
        <v>627</v>
      </c>
      <c r="AB104" s="196" t="s">
        <v>627</v>
      </c>
      <c r="AC104" s="196" t="s">
        <v>627</v>
      </c>
      <c r="AD104" s="196" t="s">
        <v>627</v>
      </c>
      <c r="AE104" s="196" t="s">
        <v>627</v>
      </c>
      <c r="AF104" s="197"/>
    </row>
    <row r="105" spans="2:32" x14ac:dyDescent="0.2">
      <c r="B105" s="803" t="s">
        <v>20</v>
      </c>
      <c r="C105" s="804"/>
      <c r="D105" s="390"/>
      <c r="E105" s="391"/>
      <c r="F105" s="392"/>
      <c r="G105" s="196">
        <v>1</v>
      </c>
      <c r="H105" s="196">
        <v>2</v>
      </c>
      <c r="I105" s="196">
        <v>3</v>
      </c>
      <c r="J105" s="196">
        <v>4</v>
      </c>
      <c r="K105" s="196">
        <v>5</v>
      </c>
      <c r="L105" s="196">
        <v>6</v>
      </c>
      <c r="M105" s="196">
        <v>7</v>
      </c>
      <c r="N105" s="196">
        <v>8</v>
      </c>
      <c r="O105" s="196">
        <v>9</v>
      </c>
      <c r="P105" s="196">
        <v>10</v>
      </c>
      <c r="Q105" s="196">
        <v>11</v>
      </c>
      <c r="R105" s="196">
        <v>12</v>
      </c>
      <c r="S105" s="196">
        <v>13</v>
      </c>
      <c r="T105" s="196">
        <v>14</v>
      </c>
      <c r="U105" s="196">
        <v>15</v>
      </c>
      <c r="V105" s="196">
        <v>16</v>
      </c>
      <c r="W105" s="196">
        <v>17</v>
      </c>
      <c r="X105" s="196">
        <v>18</v>
      </c>
      <c r="Y105" s="196">
        <v>19</v>
      </c>
      <c r="Z105" s="196">
        <v>20</v>
      </c>
      <c r="AA105" s="196">
        <v>21</v>
      </c>
      <c r="AB105" s="196">
        <v>22</v>
      </c>
      <c r="AC105" s="196">
        <v>23</v>
      </c>
      <c r="AD105" s="196">
        <v>24</v>
      </c>
      <c r="AE105" s="196">
        <v>25</v>
      </c>
      <c r="AF105" s="197" t="s">
        <v>620</v>
      </c>
    </row>
    <row r="106" spans="2:32" x14ac:dyDescent="0.2">
      <c r="B106" s="803"/>
      <c r="C106" s="804"/>
      <c r="D106" s="800" t="s">
        <v>48</v>
      </c>
      <c r="E106" s="801"/>
      <c r="F106" s="802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7"/>
    </row>
    <row r="107" spans="2:32" x14ac:dyDescent="0.2">
      <c r="B107" s="803" t="s">
        <v>47</v>
      </c>
      <c r="C107" s="804"/>
      <c r="D107" s="390"/>
      <c r="E107" s="391" t="s">
        <v>360</v>
      </c>
      <c r="F107" s="392"/>
      <c r="G107" s="198" t="s">
        <v>343</v>
      </c>
      <c r="H107" s="198" t="s">
        <v>343</v>
      </c>
      <c r="I107" s="198" t="s">
        <v>343</v>
      </c>
      <c r="J107" s="198" t="s">
        <v>343</v>
      </c>
      <c r="K107" s="198" t="s">
        <v>343</v>
      </c>
      <c r="L107" s="198" t="s">
        <v>343</v>
      </c>
      <c r="M107" s="198" t="s">
        <v>343</v>
      </c>
      <c r="N107" s="198" t="s">
        <v>343</v>
      </c>
      <c r="O107" s="198" t="s">
        <v>343</v>
      </c>
      <c r="P107" s="198" t="s">
        <v>343</v>
      </c>
      <c r="Q107" s="198" t="s">
        <v>343</v>
      </c>
      <c r="R107" s="198" t="s">
        <v>343</v>
      </c>
      <c r="S107" s="198" t="s">
        <v>343</v>
      </c>
      <c r="T107" s="198" t="s">
        <v>343</v>
      </c>
      <c r="U107" s="198" t="s">
        <v>343</v>
      </c>
      <c r="V107" s="198" t="s">
        <v>343</v>
      </c>
      <c r="W107" s="198" t="s">
        <v>343</v>
      </c>
      <c r="X107" s="198" t="s">
        <v>343</v>
      </c>
      <c r="Y107" s="198" t="s">
        <v>343</v>
      </c>
      <c r="Z107" s="198" t="s">
        <v>343</v>
      </c>
      <c r="AA107" s="198" t="s">
        <v>343</v>
      </c>
      <c r="AB107" s="198" t="s">
        <v>343</v>
      </c>
      <c r="AC107" s="198" t="s">
        <v>343</v>
      </c>
      <c r="AD107" s="198" t="s">
        <v>343</v>
      </c>
      <c r="AE107" s="198" t="s">
        <v>343</v>
      </c>
      <c r="AF107" s="199" t="s">
        <v>343</v>
      </c>
    </row>
    <row r="108" spans="2:32" x14ac:dyDescent="0.2">
      <c r="B108" s="200">
        <f>'DADOS-Campanha'!$J$23</f>
        <v>0.75</v>
      </c>
      <c r="C108" s="200">
        <f>B108+$C$1</f>
        <v>0.79166666666666663</v>
      </c>
      <c r="D108" s="271">
        <f t="shared" ref="D108:D131" si="28">HOUR(B108)+HOUR($C$1)</f>
        <v>19</v>
      </c>
      <c r="E108" s="202" t="s">
        <v>339</v>
      </c>
      <c r="F108" s="203" t="s">
        <v>356</v>
      </c>
      <c r="G108" s="644"/>
      <c r="H108" s="644"/>
      <c r="I108" s="644"/>
      <c r="J108" s="644"/>
      <c r="K108" s="644"/>
      <c r="L108" s="644"/>
      <c r="M108" s="644"/>
      <c r="N108" s="644"/>
      <c r="O108" s="644"/>
      <c r="P108" s="644"/>
      <c r="Q108" s="644"/>
      <c r="R108" s="644"/>
      <c r="S108" s="644"/>
      <c r="T108" s="644"/>
      <c r="U108" s="644"/>
      <c r="V108" s="644"/>
      <c r="W108" s="644"/>
      <c r="X108" s="644"/>
      <c r="Y108" s="644"/>
      <c r="Z108" s="644"/>
      <c r="AA108" s="644"/>
      <c r="AB108" s="644"/>
      <c r="AC108" s="644"/>
      <c r="AD108" s="644"/>
      <c r="AE108" s="644"/>
      <c r="AF108" s="204">
        <f t="shared" ref="AF108:AF117" si="29">SUM(G108:AE108)</f>
        <v>0</v>
      </c>
    </row>
    <row r="109" spans="2:32" x14ac:dyDescent="0.2">
      <c r="B109" s="200">
        <f>C108</f>
        <v>0.79166666666666663</v>
      </c>
      <c r="C109" s="200">
        <f>B109+$C$1</f>
        <v>0.83333333333333326</v>
      </c>
      <c r="D109" s="271">
        <f t="shared" si="28"/>
        <v>20</v>
      </c>
      <c r="E109" s="202" t="s">
        <v>339</v>
      </c>
      <c r="F109" s="203" t="s">
        <v>356</v>
      </c>
      <c r="G109" s="644"/>
      <c r="H109" s="644"/>
      <c r="I109" s="644"/>
      <c r="J109" s="644"/>
      <c r="K109" s="644"/>
      <c r="L109" s="644"/>
      <c r="M109" s="644"/>
      <c r="N109" s="644"/>
      <c r="O109" s="644"/>
      <c r="P109" s="644"/>
      <c r="Q109" s="644"/>
      <c r="R109" s="644"/>
      <c r="S109" s="644"/>
      <c r="T109" s="644"/>
      <c r="U109" s="644"/>
      <c r="V109" s="644"/>
      <c r="W109" s="644"/>
      <c r="X109" s="644"/>
      <c r="Y109" s="644"/>
      <c r="Z109" s="644"/>
      <c r="AA109" s="644"/>
      <c r="AB109" s="644"/>
      <c r="AC109" s="644"/>
      <c r="AD109" s="644"/>
      <c r="AE109" s="644"/>
      <c r="AF109" s="204">
        <f t="shared" si="29"/>
        <v>0</v>
      </c>
    </row>
    <row r="110" spans="2:32" x14ac:dyDescent="0.2">
      <c r="B110" s="200">
        <f t="shared" ref="B110:B131" si="30">C109</f>
        <v>0.83333333333333326</v>
      </c>
      <c r="C110" s="200">
        <f t="shared" ref="C110:C131" si="31">B110+$C$1</f>
        <v>0.87499999999999989</v>
      </c>
      <c r="D110" s="271">
        <f t="shared" si="28"/>
        <v>21</v>
      </c>
      <c r="E110" s="202" t="s">
        <v>339</v>
      </c>
      <c r="F110" s="203" t="s">
        <v>356</v>
      </c>
      <c r="G110" s="644"/>
      <c r="H110" s="644"/>
      <c r="I110" s="644"/>
      <c r="J110" s="644"/>
      <c r="K110" s="644"/>
      <c r="L110" s="644"/>
      <c r="M110" s="644"/>
      <c r="N110" s="644"/>
      <c r="O110" s="644"/>
      <c r="P110" s="644"/>
      <c r="Q110" s="644"/>
      <c r="R110" s="644"/>
      <c r="S110" s="644"/>
      <c r="T110" s="644"/>
      <c r="U110" s="644"/>
      <c r="V110" s="644"/>
      <c r="W110" s="644"/>
      <c r="X110" s="644"/>
      <c r="Y110" s="644"/>
      <c r="Z110" s="644"/>
      <c r="AA110" s="644"/>
      <c r="AB110" s="644"/>
      <c r="AC110" s="644"/>
      <c r="AD110" s="644"/>
      <c r="AE110" s="644"/>
      <c r="AF110" s="204">
        <f t="shared" si="29"/>
        <v>0</v>
      </c>
    </row>
    <row r="111" spans="2:32" x14ac:dyDescent="0.2">
      <c r="B111" s="200">
        <f t="shared" si="30"/>
        <v>0.87499999999999989</v>
      </c>
      <c r="C111" s="200">
        <f t="shared" si="31"/>
        <v>0.91666666666666652</v>
      </c>
      <c r="D111" s="271">
        <f t="shared" si="28"/>
        <v>22</v>
      </c>
      <c r="E111" s="202" t="s">
        <v>361</v>
      </c>
      <c r="F111" s="203" t="s">
        <v>358</v>
      </c>
      <c r="G111" s="644"/>
      <c r="H111" s="644"/>
      <c r="I111" s="644"/>
      <c r="J111" s="644"/>
      <c r="K111" s="644"/>
      <c r="L111" s="644"/>
      <c r="M111" s="644"/>
      <c r="N111" s="644"/>
      <c r="O111" s="644"/>
      <c r="P111" s="644"/>
      <c r="Q111" s="644"/>
      <c r="R111" s="644"/>
      <c r="S111" s="644"/>
      <c r="T111" s="644"/>
      <c r="U111" s="644"/>
      <c r="V111" s="644"/>
      <c r="W111" s="644"/>
      <c r="X111" s="644"/>
      <c r="Y111" s="644"/>
      <c r="Z111" s="644"/>
      <c r="AA111" s="644"/>
      <c r="AB111" s="644"/>
      <c r="AC111" s="644"/>
      <c r="AD111" s="644"/>
      <c r="AE111" s="644"/>
      <c r="AF111" s="204">
        <f t="shared" si="29"/>
        <v>0</v>
      </c>
    </row>
    <row r="112" spans="2:32" x14ac:dyDescent="0.2">
      <c r="B112" s="200">
        <f t="shared" si="30"/>
        <v>0.91666666666666652</v>
      </c>
      <c r="C112" s="200">
        <f t="shared" si="31"/>
        <v>0.95833333333333315</v>
      </c>
      <c r="D112" s="271">
        <f t="shared" si="28"/>
        <v>23</v>
      </c>
      <c r="E112" s="202" t="s">
        <v>340</v>
      </c>
      <c r="F112" s="203" t="s">
        <v>358</v>
      </c>
      <c r="G112" s="644"/>
      <c r="H112" s="644"/>
      <c r="I112" s="644"/>
      <c r="J112" s="644"/>
      <c r="K112" s="644"/>
      <c r="L112" s="644"/>
      <c r="M112" s="644"/>
      <c r="N112" s="644"/>
      <c r="O112" s="644"/>
      <c r="P112" s="644"/>
      <c r="Q112" s="644"/>
      <c r="R112" s="644"/>
      <c r="S112" s="644"/>
      <c r="T112" s="644"/>
      <c r="U112" s="644"/>
      <c r="V112" s="644"/>
      <c r="W112" s="644"/>
      <c r="X112" s="644"/>
      <c r="Y112" s="644"/>
      <c r="Z112" s="644"/>
      <c r="AA112" s="644"/>
      <c r="AB112" s="644"/>
      <c r="AC112" s="644"/>
      <c r="AD112" s="644"/>
      <c r="AE112" s="644"/>
      <c r="AF112" s="204">
        <f t="shared" si="29"/>
        <v>0</v>
      </c>
    </row>
    <row r="113" spans="2:32" x14ac:dyDescent="0.2">
      <c r="B113" s="200">
        <f t="shared" si="30"/>
        <v>0.95833333333333315</v>
      </c>
      <c r="C113" s="200">
        <f t="shared" si="31"/>
        <v>0.99999999999999978</v>
      </c>
      <c r="D113" s="271">
        <f t="shared" si="28"/>
        <v>24</v>
      </c>
      <c r="E113" s="202" t="s">
        <v>340</v>
      </c>
      <c r="F113" s="203" t="s">
        <v>358</v>
      </c>
      <c r="G113" s="644"/>
      <c r="H113" s="644"/>
      <c r="I113" s="644"/>
      <c r="J113" s="644"/>
      <c r="K113" s="644"/>
      <c r="L113" s="644"/>
      <c r="M113" s="644"/>
      <c r="N113" s="644"/>
      <c r="O113" s="644"/>
      <c r="P113" s="644"/>
      <c r="Q113" s="644"/>
      <c r="R113" s="644"/>
      <c r="S113" s="644"/>
      <c r="T113" s="644"/>
      <c r="U113" s="644"/>
      <c r="V113" s="644"/>
      <c r="W113" s="644"/>
      <c r="X113" s="644"/>
      <c r="Y113" s="644"/>
      <c r="Z113" s="644"/>
      <c r="AA113" s="644"/>
      <c r="AB113" s="644"/>
      <c r="AC113" s="644"/>
      <c r="AD113" s="644"/>
      <c r="AE113" s="644"/>
      <c r="AF113" s="204">
        <f t="shared" si="29"/>
        <v>0</v>
      </c>
    </row>
    <row r="114" spans="2:32" x14ac:dyDescent="0.2">
      <c r="B114" s="200">
        <f t="shared" si="30"/>
        <v>0.99999999999999978</v>
      </c>
      <c r="C114" s="200">
        <f t="shared" si="31"/>
        <v>1.0416666666666665</v>
      </c>
      <c r="D114" s="271">
        <f t="shared" si="28"/>
        <v>1</v>
      </c>
      <c r="E114" s="202" t="s">
        <v>340</v>
      </c>
      <c r="F114" s="203" t="s">
        <v>358</v>
      </c>
      <c r="G114" s="644"/>
      <c r="H114" s="644"/>
      <c r="I114" s="644"/>
      <c r="J114" s="644"/>
      <c r="K114" s="644"/>
      <c r="L114" s="644"/>
      <c r="M114" s="644"/>
      <c r="N114" s="644"/>
      <c r="O114" s="644"/>
      <c r="P114" s="644"/>
      <c r="Q114" s="644"/>
      <c r="R114" s="644"/>
      <c r="S114" s="644"/>
      <c r="T114" s="644"/>
      <c r="U114" s="644"/>
      <c r="V114" s="644"/>
      <c r="W114" s="644"/>
      <c r="X114" s="644"/>
      <c r="Y114" s="644"/>
      <c r="Z114" s="644"/>
      <c r="AA114" s="644"/>
      <c r="AB114" s="644"/>
      <c r="AC114" s="644"/>
      <c r="AD114" s="644"/>
      <c r="AE114" s="644"/>
      <c r="AF114" s="204">
        <f t="shared" si="29"/>
        <v>0</v>
      </c>
    </row>
    <row r="115" spans="2:32" x14ac:dyDescent="0.2">
      <c r="B115" s="200">
        <f t="shared" si="30"/>
        <v>1.0416666666666665</v>
      </c>
      <c r="C115" s="200">
        <f t="shared" si="31"/>
        <v>1.0833333333333333</v>
      </c>
      <c r="D115" s="271">
        <f t="shared" si="28"/>
        <v>2</v>
      </c>
      <c r="E115" s="202" t="s">
        <v>340</v>
      </c>
      <c r="F115" s="203" t="s">
        <v>358</v>
      </c>
      <c r="G115" s="644"/>
      <c r="H115" s="644"/>
      <c r="I115" s="644"/>
      <c r="J115" s="644"/>
      <c r="K115" s="644"/>
      <c r="L115" s="644"/>
      <c r="M115" s="644"/>
      <c r="N115" s="644"/>
      <c r="O115" s="644"/>
      <c r="P115" s="644"/>
      <c r="Q115" s="644"/>
      <c r="R115" s="644"/>
      <c r="S115" s="644"/>
      <c r="T115" s="644"/>
      <c r="U115" s="644"/>
      <c r="V115" s="644"/>
      <c r="W115" s="644"/>
      <c r="X115" s="644"/>
      <c r="Y115" s="644"/>
      <c r="Z115" s="644"/>
      <c r="AA115" s="644"/>
      <c r="AB115" s="644"/>
      <c r="AC115" s="644"/>
      <c r="AD115" s="644"/>
      <c r="AE115" s="644"/>
      <c r="AF115" s="204">
        <f t="shared" si="29"/>
        <v>0</v>
      </c>
    </row>
    <row r="116" spans="2:32" x14ac:dyDescent="0.2">
      <c r="B116" s="200">
        <f t="shared" si="30"/>
        <v>1.0833333333333333</v>
      </c>
      <c r="C116" s="200">
        <f t="shared" si="31"/>
        <v>1.125</v>
      </c>
      <c r="D116" s="271">
        <f t="shared" si="28"/>
        <v>3</v>
      </c>
      <c r="E116" s="202" t="s">
        <v>340</v>
      </c>
      <c r="F116" s="203" t="s">
        <v>358</v>
      </c>
      <c r="G116" s="644"/>
      <c r="H116" s="644"/>
      <c r="I116" s="644"/>
      <c r="J116" s="644"/>
      <c r="K116" s="644"/>
      <c r="L116" s="644"/>
      <c r="M116" s="644"/>
      <c r="N116" s="644"/>
      <c r="O116" s="644"/>
      <c r="P116" s="644"/>
      <c r="Q116" s="644"/>
      <c r="R116" s="644"/>
      <c r="S116" s="644"/>
      <c r="T116" s="644"/>
      <c r="U116" s="644"/>
      <c r="V116" s="644"/>
      <c r="W116" s="644"/>
      <c r="X116" s="644"/>
      <c r="Y116" s="644"/>
      <c r="Z116" s="644"/>
      <c r="AA116" s="644"/>
      <c r="AB116" s="644"/>
      <c r="AC116" s="644"/>
      <c r="AD116" s="644"/>
      <c r="AE116" s="644"/>
      <c r="AF116" s="204">
        <f t="shared" si="29"/>
        <v>0</v>
      </c>
    </row>
    <row r="117" spans="2:32" x14ac:dyDescent="0.2">
      <c r="B117" s="200">
        <f t="shared" si="30"/>
        <v>1.125</v>
      </c>
      <c r="C117" s="200">
        <f t="shared" si="31"/>
        <v>1.1666666666666667</v>
      </c>
      <c r="D117" s="271">
        <f t="shared" si="28"/>
        <v>4</v>
      </c>
      <c r="E117" s="202" t="s">
        <v>340</v>
      </c>
      <c r="F117" s="203" t="s">
        <v>358</v>
      </c>
      <c r="G117" s="644"/>
      <c r="H117" s="644"/>
      <c r="I117" s="644"/>
      <c r="J117" s="644"/>
      <c r="K117" s="644"/>
      <c r="L117" s="644"/>
      <c r="M117" s="644"/>
      <c r="N117" s="644"/>
      <c r="O117" s="644"/>
      <c r="P117" s="644"/>
      <c r="Q117" s="644"/>
      <c r="R117" s="644"/>
      <c r="S117" s="644"/>
      <c r="T117" s="644"/>
      <c r="U117" s="644"/>
      <c r="V117" s="644"/>
      <c r="W117" s="644"/>
      <c r="X117" s="644"/>
      <c r="Y117" s="644"/>
      <c r="Z117" s="644"/>
      <c r="AA117" s="644"/>
      <c r="AB117" s="644"/>
      <c r="AC117" s="644"/>
      <c r="AD117" s="644"/>
      <c r="AE117" s="644"/>
      <c r="AF117" s="204">
        <f t="shared" si="29"/>
        <v>0</v>
      </c>
    </row>
    <row r="118" spans="2:32" x14ac:dyDescent="0.2">
      <c r="B118" s="200">
        <f t="shared" si="30"/>
        <v>1.1666666666666667</v>
      </c>
      <c r="C118" s="200">
        <f t="shared" si="31"/>
        <v>1.2083333333333335</v>
      </c>
      <c r="D118" s="271">
        <f t="shared" si="28"/>
        <v>5</v>
      </c>
      <c r="E118" s="202" t="s">
        <v>340</v>
      </c>
      <c r="F118" s="203" t="s">
        <v>358</v>
      </c>
      <c r="G118" s="644"/>
      <c r="H118" s="644"/>
      <c r="I118" s="644"/>
      <c r="J118" s="644"/>
      <c r="K118" s="644"/>
      <c r="L118" s="644"/>
      <c r="M118" s="644"/>
      <c r="N118" s="644"/>
      <c r="O118" s="644"/>
      <c r="P118" s="644"/>
      <c r="Q118" s="644"/>
      <c r="R118" s="644"/>
      <c r="S118" s="644"/>
      <c r="T118" s="644"/>
      <c r="U118" s="644"/>
      <c r="V118" s="644"/>
      <c r="W118" s="644"/>
      <c r="X118" s="644"/>
      <c r="Y118" s="644"/>
      <c r="Z118" s="644"/>
      <c r="AA118" s="644"/>
      <c r="AB118" s="644"/>
      <c r="AC118" s="644"/>
      <c r="AD118" s="644"/>
      <c r="AE118" s="644"/>
      <c r="AF118" s="204">
        <f t="shared" ref="AF118:AF131" si="32">SUM(G118:AE118)</f>
        <v>0</v>
      </c>
    </row>
    <row r="119" spans="2:32" x14ac:dyDescent="0.2">
      <c r="B119" s="200">
        <f t="shared" si="30"/>
        <v>1.2083333333333335</v>
      </c>
      <c r="C119" s="200">
        <f t="shared" si="31"/>
        <v>1.2500000000000002</v>
      </c>
      <c r="D119" s="271">
        <f t="shared" si="28"/>
        <v>6</v>
      </c>
      <c r="E119" s="202" t="s">
        <v>340</v>
      </c>
      <c r="F119" s="203" t="s">
        <v>358</v>
      </c>
      <c r="G119" s="644"/>
      <c r="H119" s="644"/>
      <c r="I119" s="644"/>
      <c r="J119" s="644"/>
      <c r="K119" s="644"/>
      <c r="L119" s="644"/>
      <c r="M119" s="644"/>
      <c r="N119" s="644"/>
      <c r="O119" s="644"/>
      <c r="P119" s="644"/>
      <c r="Q119" s="644"/>
      <c r="R119" s="644"/>
      <c r="S119" s="644"/>
      <c r="T119" s="644"/>
      <c r="U119" s="644"/>
      <c r="V119" s="644"/>
      <c r="W119" s="644"/>
      <c r="X119" s="644"/>
      <c r="Y119" s="644"/>
      <c r="Z119" s="644"/>
      <c r="AA119" s="644"/>
      <c r="AB119" s="644"/>
      <c r="AC119" s="644"/>
      <c r="AD119" s="644"/>
      <c r="AE119" s="644"/>
      <c r="AF119" s="204">
        <f t="shared" si="32"/>
        <v>0</v>
      </c>
    </row>
    <row r="120" spans="2:32" x14ac:dyDescent="0.2">
      <c r="B120" s="200">
        <f t="shared" si="30"/>
        <v>1.2500000000000002</v>
      </c>
      <c r="C120" s="200">
        <f t="shared" si="31"/>
        <v>1.291666666666667</v>
      </c>
      <c r="D120" s="271">
        <f t="shared" si="28"/>
        <v>7</v>
      </c>
      <c r="E120" s="202" t="s">
        <v>340</v>
      </c>
      <c r="F120" s="203" t="s">
        <v>358</v>
      </c>
      <c r="G120" s="644"/>
      <c r="H120" s="644"/>
      <c r="I120" s="644"/>
      <c r="J120" s="644"/>
      <c r="K120" s="644"/>
      <c r="L120" s="644"/>
      <c r="M120" s="644"/>
      <c r="N120" s="644"/>
      <c r="O120" s="644"/>
      <c r="P120" s="644"/>
      <c r="Q120" s="644"/>
      <c r="R120" s="644"/>
      <c r="S120" s="644"/>
      <c r="T120" s="644"/>
      <c r="U120" s="644"/>
      <c r="V120" s="644"/>
      <c r="W120" s="644"/>
      <c r="X120" s="644"/>
      <c r="Y120" s="644"/>
      <c r="Z120" s="644"/>
      <c r="AA120" s="644"/>
      <c r="AB120" s="644"/>
      <c r="AC120" s="644"/>
      <c r="AD120" s="644"/>
      <c r="AE120" s="644"/>
      <c r="AF120" s="204">
        <f t="shared" si="32"/>
        <v>0</v>
      </c>
    </row>
    <row r="121" spans="2:32" x14ac:dyDescent="0.2">
      <c r="B121" s="200">
        <f t="shared" si="30"/>
        <v>1.291666666666667</v>
      </c>
      <c r="C121" s="200">
        <f t="shared" si="31"/>
        <v>1.3333333333333337</v>
      </c>
      <c r="D121" s="271">
        <f t="shared" si="28"/>
        <v>8</v>
      </c>
      <c r="E121" s="202" t="s">
        <v>340</v>
      </c>
      <c r="F121" s="203" t="s">
        <v>358</v>
      </c>
      <c r="G121" s="644"/>
      <c r="H121" s="644"/>
      <c r="I121" s="644"/>
      <c r="J121" s="644"/>
      <c r="K121" s="644"/>
      <c r="L121" s="644"/>
      <c r="M121" s="644"/>
      <c r="N121" s="644"/>
      <c r="O121" s="644"/>
      <c r="P121" s="644"/>
      <c r="Q121" s="644"/>
      <c r="R121" s="644"/>
      <c r="S121" s="644"/>
      <c r="T121" s="644"/>
      <c r="U121" s="644"/>
      <c r="V121" s="644"/>
      <c r="W121" s="644"/>
      <c r="X121" s="644"/>
      <c r="Y121" s="644"/>
      <c r="Z121" s="644"/>
      <c r="AA121" s="644"/>
      <c r="AB121" s="644"/>
      <c r="AC121" s="644"/>
      <c r="AD121" s="644"/>
      <c r="AE121" s="644"/>
      <c r="AF121" s="204">
        <f t="shared" si="32"/>
        <v>0</v>
      </c>
    </row>
    <row r="122" spans="2:32" x14ac:dyDescent="0.2">
      <c r="B122" s="200">
        <f t="shared" si="30"/>
        <v>1.3333333333333337</v>
      </c>
      <c r="C122" s="200">
        <f t="shared" si="31"/>
        <v>1.3750000000000004</v>
      </c>
      <c r="D122" s="271">
        <f t="shared" si="28"/>
        <v>9</v>
      </c>
      <c r="E122" s="202" t="s">
        <v>340</v>
      </c>
      <c r="F122" s="203" t="s">
        <v>358</v>
      </c>
      <c r="G122" s="644"/>
      <c r="H122" s="644"/>
      <c r="I122" s="644"/>
      <c r="J122" s="644"/>
      <c r="K122" s="644"/>
      <c r="L122" s="644"/>
      <c r="M122" s="644"/>
      <c r="N122" s="644"/>
      <c r="O122" s="644"/>
      <c r="P122" s="644"/>
      <c r="Q122" s="644"/>
      <c r="R122" s="644"/>
      <c r="S122" s="644"/>
      <c r="T122" s="644"/>
      <c r="U122" s="644"/>
      <c r="V122" s="644"/>
      <c r="W122" s="644"/>
      <c r="X122" s="644"/>
      <c r="Y122" s="644"/>
      <c r="Z122" s="644"/>
      <c r="AA122" s="644"/>
      <c r="AB122" s="644"/>
      <c r="AC122" s="644"/>
      <c r="AD122" s="644"/>
      <c r="AE122" s="644"/>
      <c r="AF122" s="204">
        <f t="shared" si="32"/>
        <v>0</v>
      </c>
    </row>
    <row r="123" spans="2:32" x14ac:dyDescent="0.2">
      <c r="B123" s="200">
        <f t="shared" si="30"/>
        <v>1.3750000000000004</v>
      </c>
      <c r="C123" s="200">
        <f t="shared" si="31"/>
        <v>1.4166666666666672</v>
      </c>
      <c r="D123" s="271">
        <f t="shared" si="28"/>
        <v>10</v>
      </c>
      <c r="E123" s="202" t="s">
        <v>340</v>
      </c>
      <c r="F123" s="203" t="s">
        <v>358</v>
      </c>
      <c r="G123" s="644"/>
      <c r="H123" s="644"/>
      <c r="I123" s="644"/>
      <c r="J123" s="644"/>
      <c r="K123" s="644"/>
      <c r="L123" s="644"/>
      <c r="M123" s="644"/>
      <c r="N123" s="644"/>
      <c r="O123" s="644"/>
      <c r="P123" s="644"/>
      <c r="Q123" s="644"/>
      <c r="R123" s="644"/>
      <c r="S123" s="644"/>
      <c r="T123" s="644"/>
      <c r="U123" s="644"/>
      <c r="V123" s="644"/>
      <c r="W123" s="644"/>
      <c r="X123" s="644"/>
      <c r="Y123" s="644"/>
      <c r="Z123" s="644"/>
      <c r="AA123" s="644"/>
      <c r="AB123" s="644"/>
      <c r="AC123" s="644"/>
      <c r="AD123" s="644"/>
      <c r="AE123" s="644"/>
      <c r="AF123" s="204">
        <f t="shared" si="32"/>
        <v>0</v>
      </c>
    </row>
    <row r="124" spans="2:32" x14ac:dyDescent="0.2">
      <c r="B124" s="200">
        <f t="shared" si="30"/>
        <v>1.4166666666666672</v>
      </c>
      <c r="C124" s="200">
        <f t="shared" si="31"/>
        <v>1.4583333333333339</v>
      </c>
      <c r="D124" s="271">
        <f t="shared" si="28"/>
        <v>11</v>
      </c>
      <c r="E124" s="202" t="s">
        <v>340</v>
      </c>
      <c r="F124" s="203" t="s">
        <v>358</v>
      </c>
      <c r="G124" s="644"/>
      <c r="H124" s="644"/>
      <c r="I124" s="644"/>
      <c r="J124" s="644"/>
      <c r="K124" s="644"/>
      <c r="L124" s="644"/>
      <c r="M124" s="644"/>
      <c r="N124" s="644"/>
      <c r="O124" s="644"/>
      <c r="P124" s="644"/>
      <c r="Q124" s="644"/>
      <c r="R124" s="644"/>
      <c r="S124" s="644"/>
      <c r="T124" s="644"/>
      <c r="U124" s="644"/>
      <c r="V124" s="644"/>
      <c r="W124" s="644"/>
      <c r="X124" s="644"/>
      <c r="Y124" s="644"/>
      <c r="Z124" s="644"/>
      <c r="AA124" s="644"/>
      <c r="AB124" s="644"/>
      <c r="AC124" s="644"/>
      <c r="AD124" s="644"/>
      <c r="AE124" s="644"/>
      <c r="AF124" s="204">
        <f t="shared" si="32"/>
        <v>0</v>
      </c>
    </row>
    <row r="125" spans="2:32" x14ac:dyDescent="0.2">
      <c r="B125" s="200">
        <f t="shared" si="30"/>
        <v>1.4583333333333339</v>
      </c>
      <c r="C125" s="200">
        <f t="shared" si="31"/>
        <v>1.5000000000000007</v>
      </c>
      <c r="D125" s="271">
        <f t="shared" si="28"/>
        <v>12</v>
      </c>
      <c r="E125" s="202" t="s">
        <v>340</v>
      </c>
      <c r="F125" s="203" t="s">
        <v>358</v>
      </c>
      <c r="G125" s="644"/>
      <c r="H125" s="644"/>
      <c r="I125" s="644"/>
      <c r="J125" s="644"/>
      <c r="K125" s="644"/>
      <c r="L125" s="644"/>
      <c r="M125" s="644"/>
      <c r="N125" s="644"/>
      <c r="O125" s="644"/>
      <c r="P125" s="644"/>
      <c r="Q125" s="644"/>
      <c r="R125" s="644"/>
      <c r="S125" s="644"/>
      <c r="T125" s="644"/>
      <c r="U125" s="644"/>
      <c r="V125" s="644"/>
      <c r="W125" s="644"/>
      <c r="X125" s="644"/>
      <c r="Y125" s="644"/>
      <c r="Z125" s="644"/>
      <c r="AA125" s="644"/>
      <c r="AB125" s="644"/>
      <c r="AC125" s="644"/>
      <c r="AD125" s="644"/>
      <c r="AE125" s="644"/>
      <c r="AF125" s="204">
        <f t="shared" si="32"/>
        <v>0</v>
      </c>
    </row>
    <row r="126" spans="2:32" x14ac:dyDescent="0.2">
      <c r="B126" s="200">
        <f t="shared" si="30"/>
        <v>1.5000000000000007</v>
      </c>
      <c r="C126" s="200">
        <f t="shared" si="31"/>
        <v>1.5416666666666674</v>
      </c>
      <c r="D126" s="271">
        <f t="shared" si="28"/>
        <v>13</v>
      </c>
      <c r="E126" s="202" t="s">
        <v>340</v>
      </c>
      <c r="F126" s="203" t="s">
        <v>358</v>
      </c>
      <c r="G126" s="644"/>
      <c r="H126" s="644"/>
      <c r="I126" s="644"/>
      <c r="J126" s="644"/>
      <c r="K126" s="644"/>
      <c r="L126" s="644"/>
      <c r="M126" s="644"/>
      <c r="N126" s="644"/>
      <c r="O126" s="644"/>
      <c r="P126" s="644"/>
      <c r="Q126" s="644"/>
      <c r="R126" s="644"/>
      <c r="S126" s="644"/>
      <c r="T126" s="644"/>
      <c r="U126" s="644"/>
      <c r="V126" s="644"/>
      <c r="W126" s="644"/>
      <c r="X126" s="644"/>
      <c r="Y126" s="644"/>
      <c r="Z126" s="644"/>
      <c r="AA126" s="644"/>
      <c r="AB126" s="644"/>
      <c r="AC126" s="644"/>
      <c r="AD126" s="644"/>
      <c r="AE126" s="644"/>
      <c r="AF126" s="204">
        <f t="shared" si="32"/>
        <v>0</v>
      </c>
    </row>
    <row r="127" spans="2:32" x14ac:dyDescent="0.2">
      <c r="B127" s="200">
        <f t="shared" si="30"/>
        <v>1.5416666666666674</v>
      </c>
      <c r="C127" s="200">
        <f t="shared" si="31"/>
        <v>1.5833333333333341</v>
      </c>
      <c r="D127" s="271">
        <f t="shared" si="28"/>
        <v>14</v>
      </c>
      <c r="E127" s="202" t="s">
        <v>340</v>
      </c>
      <c r="F127" s="203" t="s">
        <v>358</v>
      </c>
      <c r="G127" s="644"/>
      <c r="H127" s="644"/>
      <c r="I127" s="644"/>
      <c r="J127" s="644"/>
      <c r="K127" s="644"/>
      <c r="L127" s="644"/>
      <c r="M127" s="644"/>
      <c r="N127" s="644"/>
      <c r="O127" s="644"/>
      <c r="P127" s="644"/>
      <c r="Q127" s="644"/>
      <c r="R127" s="644"/>
      <c r="S127" s="644"/>
      <c r="T127" s="644"/>
      <c r="U127" s="644"/>
      <c r="V127" s="644"/>
      <c r="W127" s="644"/>
      <c r="X127" s="644"/>
      <c r="Y127" s="644"/>
      <c r="Z127" s="644"/>
      <c r="AA127" s="644"/>
      <c r="AB127" s="644"/>
      <c r="AC127" s="644"/>
      <c r="AD127" s="644"/>
      <c r="AE127" s="644"/>
      <c r="AF127" s="204">
        <f t="shared" si="32"/>
        <v>0</v>
      </c>
    </row>
    <row r="128" spans="2:32" x14ac:dyDescent="0.2">
      <c r="B128" s="200">
        <f t="shared" si="30"/>
        <v>1.5833333333333341</v>
      </c>
      <c r="C128" s="200">
        <f t="shared" si="31"/>
        <v>1.6250000000000009</v>
      </c>
      <c r="D128" s="271">
        <f t="shared" si="28"/>
        <v>15</v>
      </c>
      <c r="E128" s="202" t="s">
        <v>340</v>
      </c>
      <c r="F128" s="203" t="s">
        <v>358</v>
      </c>
      <c r="G128" s="644"/>
      <c r="H128" s="644"/>
      <c r="I128" s="644"/>
      <c r="J128" s="644"/>
      <c r="K128" s="644"/>
      <c r="L128" s="644"/>
      <c r="M128" s="644"/>
      <c r="N128" s="644"/>
      <c r="O128" s="644"/>
      <c r="P128" s="644"/>
      <c r="Q128" s="644"/>
      <c r="R128" s="644"/>
      <c r="S128" s="644"/>
      <c r="T128" s="644"/>
      <c r="U128" s="644"/>
      <c r="V128" s="644"/>
      <c r="W128" s="644"/>
      <c r="X128" s="644"/>
      <c r="Y128" s="644"/>
      <c r="Z128" s="644"/>
      <c r="AA128" s="644"/>
      <c r="AB128" s="644"/>
      <c r="AC128" s="644"/>
      <c r="AD128" s="644"/>
      <c r="AE128" s="644"/>
      <c r="AF128" s="204">
        <f t="shared" si="32"/>
        <v>0</v>
      </c>
    </row>
    <row r="129" spans="2:32" x14ac:dyDescent="0.2">
      <c r="B129" s="200">
        <f t="shared" si="30"/>
        <v>1.6250000000000009</v>
      </c>
      <c r="C129" s="200">
        <f t="shared" si="31"/>
        <v>1.6666666666666676</v>
      </c>
      <c r="D129" s="271">
        <f t="shared" si="28"/>
        <v>16</v>
      </c>
      <c r="E129" s="202" t="s">
        <v>340</v>
      </c>
      <c r="F129" s="203" t="s">
        <v>358</v>
      </c>
      <c r="G129" s="644"/>
      <c r="H129" s="644"/>
      <c r="I129" s="644"/>
      <c r="J129" s="644"/>
      <c r="K129" s="644"/>
      <c r="L129" s="644"/>
      <c r="M129" s="644"/>
      <c r="N129" s="644"/>
      <c r="O129" s="644"/>
      <c r="P129" s="644"/>
      <c r="Q129" s="644"/>
      <c r="R129" s="644"/>
      <c r="S129" s="644"/>
      <c r="T129" s="644"/>
      <c r="U129" s="644"/>
      <c r="V129" s="644"/>
      <c r="W129" s="644"/>
      <c r="X129" s="644"/>
      <c r="Y129" s="644"/>
      <c r="Z129" s="644"/>
      <c r="AA129" s="644"/>
      <c r="AB129" s="644"/>
      <c r="AC129" s="644"/>
      <c r="AD129" s="644"/>
      <c r="AE129" s="644"/>
      <c r="AF129" s="204">
        <f t="shared" si="32"/>
        <v>0</v>
      </c>
    </row>
    <row r="130" spans="2:32" x14ac:dyDescent="0.2">
      <c r="B130" s="200">
        <f t="shared" si="30"/>
        <v>1.6666666666666676</v>
      </c>
      <c r="C130" s="200">
        <f t="shared" si="31"/>
        <v>1.7083333333333344</v>
      </c>
      <c r="D130" s="271">
        <f t="shared" si="28"/>
        <v>17</v>
      </c>
      <c r="E130" s="202" t="s">
        <v>340</v>
      </c>
      <c r="F130" s="203" t="s">
        <v>358</v>
      </c>
      <c r="G130" s="644"/>
      <c r="H130" s="644"/>
      <c r="I130" s="644"/>
      <c r="J130" s="644"/>
      <c r="K130" s="644"/>
      <c r="L130" s="644"/>
      <c r="M130" s="644"/>
      <c r="N130" s="644"/>
      <c r="O130" s="644"/>
      <c r="P130" s="644"/>
      <c r="Q130" s="644"/>
      <c r="R130" s="644"/>
      <c r="S130" s="644"/>
      <c r="T130" s="644"/>
      <c r="U130" s="644"/>
      <c r="V130" s="644"/>
      <c r="W130" s="644"/>
      <c r="X130" s="644"/>
      <c r="Y130" s="644"/>
      <c r="Z130" s="644"/>
      <c r="AA130" s="644"/>
      <c r="AB130" s="644"/>
      <c r="AC130" s="644"/>
      <c r="AD130" s="644"/>
      <c r="AE130" s="644"/>
      <c r="AF130" s="204">
        <f t="shared" si="32"/>
        <v>0</v>
      </c>
    </row>
    <row r="131" spans="2:32" x14ac:dyDescent="0.2">
      <c r="B131" s="200">
        <f t="shared" si="30"/>
        <v>1.7083333333333344</v>
      </c>
      <c r="C131" s="200">
        <f t="shared" si="31"/>
        <v>1.7500000000000011</v>
      </c>
      <c r="D131" s="271">
        <f t="shared" si="28"/>
        <v>18</v>
      </c>
      <c r="E131" s="202" t="s">
        <v>361</v>
      </c>
      <c r="F131" s="203" t="s">
        <v>358</v>
      </c>
      <c r="G131" s="644"/>
      <c r="H131" s="644"/>
      <c r="I131" s="644"/>
      <c r="J131" s="644"/>
      <c r="K131" s="644"/>
      <c r="L131" s="644"/>
      <c r="M131" s="644"/>
      <c r="N131" s="644"/>
      <c r="O131" s="644"/>
      <c r="P131" s="644"/>
      <c r="Q131" s="644"/>
      <c r="R131" s="644"/>
      <c r="S131" s="644"/>
      <c r="T131" s="644"/>
      <c r="U131" s="644"/>
      <c r="V131" s="644"/>
      <c r="W131" s="644"/>
      <c r="X131" s="644"/>
      <c r="Y131" s="644"/>
      <c r="Z131" s="644"/>
      <c r="AA131" s="644"/>
      <c r="AB131" s="644"/>
      <c r="AC131" s="644"/>
      <c r="AD131" s="644"/>
      <c r="AE131" s="644"/>
      <c r="AF131" s="204">
        <f t="shared" si="32"/>
        <v>0</v>
      </c>
    </row>
    <row r="132" spans="2:32" x14ac:dyDescent="0.2">
      <c r="B132" s="205"/>
      <c r="C132" s="205" t="s">
        <v>622</v>
      </c>
      <c r="D132" s="205"/>
      <c r="E132" s="205"/>
      <c r="F132" s="205" t="s">
        <v>356</v>
      </c>
      <c r="G132" s="206">
        <f t="shared" ref="G132:P132" si="33">MAX(G108:G110)</f>
        <v>0</v>
      </c>
      <c r="H132" s="206">
        <f t="shared" si="33"/>
        <v>0</v>
      </c>
      <c r="I132" s="206">
        <f t="shared" si="33"/>
        <v>0</v>
      </c>
      <c r="J132" s="206">
        <f t="shared" si="33"/>
        <v>0</v>
      </c>
      <c r="K132" s="206">
        <f t="shared" si="33"/>
        <v>0</v>
      </c>
      <c r="L132" s="206">
        <f t="shared" si="33"/>
        <v>0</v>
      </c>
      <c r="M132" s="206">
        <f t="shared" si="33"/>
        <v>0</v>
      </c>
      <c r="N132" s="206">
        <f t="shared" si="33"/>
        <v>0</v>
      </c>
      <c r="O132" s="206">
        <f t="shared" si="33"/>
        <v>0</v>
      </c>
      <c r="P132" s="206">
        <f t="shared" si="33"/>
        <v>0</v>
      </c>
      <c r="Q132" s="206">
        <f t="shared" ref="Q132:AF132" si="34">MAX(Q108:Q110)</f>
        <v>0</v>
      </c>
      <c r="R132" s="206">
        <f t="shared" si="34"/>
        <v>0</v>
      </c>
      <c r="S132" s="206">
        <f t="shared" si="34"/>
        <v>0</v>
      </c>
      <c r="T132" s="206">
        <f t="shared" si="34"/>
        <v>0</v>
      </c>
      <c r="U132" s="206">
        <f t="shared" si="34"/>
        <v>0</v>
      </c>
      <c r="V132" s="206">
        <f t="shared" si="34"/>
        <v>0</v>
      </c>
      <c r="W132" s="206">
        <f t="shared" si="34"/>
        <v>0</v>
      </c>
      <c r="X132" s="206">
        <f t="shared" si="34"/>
        <v>0</v>
      </c>
      <c r="Y132" s="206">
        <f t="shared" si="34"/>
        <v>0</v>
      </c>
      <c r="Z132" s="206">
        <f t="shared" si="34"/>
        <v>0</v>
      </c>
      <c r="AA132" s="206">
        <f t="shared" si="34"/>
        <v>0</v>
      </c>
      <c r="AB132" s="206">
        <f t="shared" si="34"/>
        <v>0</v>
      </c>
      <c r="AC132" s="206">
        <f t="shared" si="34"/>
        <v>0</v>
      </c>
      <c r="AD132" s="206">
        <f t="shared" si="34"/>
        <v>0</v>
      </c>
      <c r="AE132" s="206">
        <f t="shared" si="34"/>
        <v>0</v>
      </c>
      <c r="AF132" s="206">
        <f t="shared" si="34"/>
        <v>0</v>
      </c>
    </row>
    <row r="133" spans="2:32" x14ac:dyDescent="0.2">
      <c r="B133" s="205"/>
      <c r="C133" s="205" t="s">
        <v>622</v>
      </c>
      <c r="D133" s="205"/>
      <c r="E133" s="205"/>
      <c r="F133" s="205" t="s">
        <v>358</v>
      </c>
      <c r="G133" s="206">
        <f t="shared" ref="G133:P133" si="35">MAX(G111:G131)</f>
        <v>0</v>
      </c>
      <c r="H133" s="206">
        <f t="shared" si="35"/>
        <v>0</v>
      </c>
      <c r="I133" s="206">
        <f t="shared" si="35"/>
        <v>0</v>
      </c>
      <c r="J133" s="206">
        <f t="shared" si="35"/>
        <v>0</v>
      </c>
      <c r="K133" s="206">
        <f t="shared" si="35"/>
        <v>0</v>
      </c>
      <c r="L133" s="206">
        <f t="shared" si="35"/>
        <v>0</v>
      </c>
      <c r="M133" s="206">
        <f t="shared" si="35"/>
        <v>0</v>
      </c>
      <c r="N133" s="206">
        <f t="shared" si="35"/>
        <v>0</v>
      </c>
      <c r="O133" s="206">
        <f t="shared" si="35"/>
        <v>0</v>
      </c>
      <c r="P133" s="206">
        <f t="shared" si="35"/>
        <v>0</v>
      </c>
      <c r="Q133" s="206">
        <f t="shared" ref="Q133:AF133" si="36">MAX(Q111:Q131)</f>
        <v>0</v>
      </c>
      <c r="R133" s="206">
        <f t="shared" si="36"/>
        <v>0</v>
      </c>
      <c r="S133" s="206">
        <f t="shared" si="36"/>
        <v>0</v>
      </c>
      <c r="T133" s="206">
        <f t="shared" si="36"/>
        <v>0</v>
      </c>
      <c r="U133" s="206">
        <f t="shared" si="36"/>
        <v>0</v>
      </c>
      <c r="V133" s="206">
        <f t="shared" si="36"/>
        <v>0</v>
      </c>
      <c r="W133" s="206">
        <f t="shared" si="36"/>
        <v>0</v>
      </c>
      <c r="X133" s="206">
        <f t="shared" si="36"/>
        <v>0</v>
      </c>
      <c r="Y133" s="206">
        <f t="shared" si="36"/>
        <v>0</v>
      </c>
      <c r="Z133" s="206">
        <f t="shared" si="36"/>
        <v>0</v>
      </c>
      <c r="AA133" s="206">
        <f t="shared" si="36"/>
        <v>0</v>
      </c>
      <c r="AB133" s="206">
        <f t="shared" si="36"/>
        <v>0</v>
      </c>
      <c r="AC133" s="206">
        <f t="shared" si="36"/>
        <v>0</v>
      </c>
      <c r="AD133" s="206">
        <f t="shared" si="36"/>
        <v>0</v>
      </c>
      <c r="AE133" s="206">
        <f t="shared" si="36"/>
        <v>0</v>
      </c>
      <c r="AF133" s="206">
        <f t="shared" si="36"/>
        <v>0</v>
      </c>
    </row>
    <row r="134" spans="2:32" x14ac:dyDescent="0.2">
      <c r="B134" s="205"/>
      <c r="C134" s="205"/>
      <c r="D134" s="205"/>
      <c r="E134" s="205"/>
      <c r="F134" s="205" t="s">
        <v>710</v>
      </c>
      <c r="G134" s="645"/>
      <c r="H134" s="645"/>
      <c r="I134" s="645"/>
      <c r="J134" s="645"/>
      <c r="K134" s="645"/>
      <c r="L134" s="645"/>
      <c r="M134" s="645"/>
      <c r="N134" s="645"/>
      <c r="O134" s="645"/>
      <c r="P134" s="645"/>
      <c r="Q134" s="645"/>
      <c r="R134" s="645"/>
      <c r="S134" s="645"/>
      <c r="T134" s="645"/>
      <c r="U134" s="645"/>
      <c r="V134" s="645"/>
      <c r="W134" s="645"/>
      <c r="X134" s="645"/>
      <c r="Y134" s="645"/>
      <c r="Z134" s="645"/>
      <c r="AA134" s="645"/>
      <c r="AB134" s="645"/>
      <c r="AC134" s="645"/>
      <c r="AD134" s="645"/>
      <c r="AE134" s="645"/>
      <c r="AF134" s="270"/>
    </row>
    <row r="135" spans="2:32" x14ac:dyDescent="0.2">
      <c r="B135" s="205"/>
      <c r="C135" s="205"/>
      <c r="D135" s="205"/>
      <c r="E135" s="205"/>
      <c r="F135" s="205" t="s">
        <v>702</v>
      </c>
      <c r="G135" s="645"/>
      <c r="H135" s="645"/>
      <c r="I135" s="645"/>
      <c r="J135" s="645"/>
      <c r="K135" s="645"/>
      <c r="L135" s="645"/>
      <c r="M135" s="645"/>
      <c r="N135" s="645"/>
      <c r="O135" s="645"/>
      <c r="P135" s="645"/>
      <c r="Q135" s="645"/>
      <c r="R135" s="645"/>
      <c r="S135" s="645"/>
      <c r="T135" s="645"/>
      <c r="U135" s="645"/>
      <c r="V135" s="645"/>
      <c r="W135" s="645"/>
      <c r="X135" s="645"/>
      <c r="Y135" s="645"/>
      <c r="Z135" s="645"/>
      <c r="AA135" s="645"/>
      <c r="AB135" s="645"/>
      <c r="AC135" s="645"/>
      <c r="AD135" s="645"/>
      <c r="AE135" s="645"/>
      <c r="AF135" s="270"/>
    </row>
    <row r="136" spans="2:32" x14ac:dyDescent="0.2">
      <c r="B136" s="205"/>
      <c r="C136" s="205"/>
      <c r="D136" s="205"/>
      <c r="E136" s="205"/>
      <c r="F136" s="205" t="s">
        <v>711</v>
      </c>
      <c r="G136" s="645"/>
      <c r="H136" s="645"/>
      <c r="I136" s="645"/>
      <c r="J136" s="645"/>
      <c r="K136" s="645"/>
      <c r="L136" s="645"/>
      <c r="M136" s="645"/>
      <c r="N136" s="645"/>
      <c r="O136" s="645"/>
      <c r="P136" s="645"/>
      <c r="Q136" s="645"/>
      <c r="R136" s="645"/>
      <c r="S136" s="645"/>
      <c r="T136" s="645"/>
      <c r="U136" s="645"/>
      <c r="V136" s="645"/>
      <c r="W136" s="645"/>
      <c r="X136" s="645"/>
      <c r="Y136" s="645"/>
      <c r="Z136" s="645"/>
      <c r="AA136" s="645"/>
      <c r="AB136" s="645"/>
      <c r="AC136" s="645"/>
      <c r="AD136" s="645"/>
      <c r="AE136" s="645"/>
      <c r="AF136" s="270"/>
    </row>
    <row r="138" spans="2:32" x14ac:dyDescent="0.2">
      <c r="B138" s="803" t="s">
        <v>628</v>
      </c>
      <c r="C138" s="804"/>
      <c r="D138" s="800"/>
      <c r="E138" s="801"/>
      <c r="F138" s="802"/>
      <c r="G138" s="196" t="s">
        <v>22</v>
      </c>
      <c r="H138" s="196" t="s">
        <v>22</v>
      </c>
      <c r="I138" s="196" t="s">
        <v>22</v>
      </c>
      <c r="J138" s="196" t="s">
        <v>22</v>
      </c>
      <c r="K138" s="196" t="s">
        <v>22</v>
      </c>
      <c r="L138" s="196" t="s">
        <v>22</v>
      </c>
      <c r="M138" s="196" t="s">
        <v>22</v>
      </c>
      <c r="N138" s="196" t="s">
        <v>22</v>
      </c>
      <c r="O138" s="196" t="s">
        <v>22</v>
      </c>
      <c r="P138" s="196" t="s">
        <v>22</v>
      </c>
      <c r="Q138" s="196" t="s">
        <v>22</v>
      </c>
      <c r="R138" s="196" t="s">
        <v>22</v>
      </c>
      <c r="S138" s="196" t="s">
        <v>22</v>
      </c>
      <c r="T138" s="196" t="s">
        <v>22</v>
      </c>
      <c r="U138" s="196" t="s">
        <v>22</v>
      </c>
      <c r="V138" s="196" t="s">
        <v>22</v>
      </c>
      <c r="W138" s="196" t="s">
        <v>22</v>
      </c>
      <c r="X138" s="196" t="s">
        <v>22</v>
      </c>
      <c r="Y138" s="196" t="s">
        <v>22</v>
      </c>
      <c r="Z138" s="196" t="s">
        <v>22</v>
      </c>
      <c r="AA138" s="196" t="s">
        <v>22</v>
      </c>
      <c r="AB138" s="196" t="s">
        <v>22</v>
      </c>
      <c r="AC138" s="196" t="s">
        <v>22</v>
      </c>
      <c r="AD138" s="196" t="s">
        <v>22</v>
      </c>
      <c r="AE138" s="196" t="s">
        <v>22</v>
      </c>
      <c r="AF138" s="197"/>
    </row>
    <row r="139" spans="2:32" x14ac:dyDescent="0.2">
      <c r="B139" s="803" t="s">
        <v>20</v>
      </c>
      <c r="C139" s="804"/>
      <c r="D139" s="390"/>
      <c r="E139" s="391"/>
      <c r="F139" s="392"/>
      <c r="G139" s="196">
        <v>1</v>
      </c>
      <c r="H139" s="196">
        <v>2</v>
      </c>
      <c r="I139" s="196">
        <v>3</v>
      </c>
      <c r="J139" s="196">
        <v>4</v>
      </c>
      <c r="K139" s="196">
        <v>5</v>
      </c>
      <c r="L139" s="196">
        <v>6</v>
      </c>
      <c r="M139" s="196">
        <v>7</v>
      </c>
      <c r="N139" s="196">
        <v>8</v>
      </c>
      <c r="O139" s="196">
        <v>9</v>
      </c>
      <c r="P139" s="196">
        <v>10</v>
      </c>
      <c r="Q139" s="196">
        <v>11</v>
      </c>
      <c r="R139" s="196">
        <v>12</v>
      </c>
      <c r="S139" s="196">
        <v>13</v>
      </c>
      <c r="T139" s="196">
        <v>14</v>
      </c>
      <c r="U139" s="196">
        <v>15</v>
      </c>
      <c r="V139" s="196">
        <v>16</v>
      </c>
      <c r="W139" s="196">
        <v>17</v>
      </c>
      <c r="X139" s="196">
        <v>18</v>
      </c>
      <c r="Y139" s="196">
        <v>19</v>
      </c>
      <c r="Z139" s="196">
        <v>20</v>
      </c>
      <c r="AA139" s="196">
        <v>21</v>
      </c>
      <c r="AB139" s="196">
        <v>22</v>
      </c>
      <c r="AC139" s="196">
        <v>23</v>
      </c>
      <c r="AD139" s="196">
        <v>24</v>
      </c>
      <c r="AE139" s="196">
        <v>25</v>
      </c>
      <c r="AF139" s="197" t="s">
        <v>620</v>
      </c>
    </row>
    <row r="140" spans="2:32" x14ac:dyDescent="0.2">
      <c r="B140" s="803"/>
      <c r="C140" s="804"/>
      <c r="D140" s="800" t="s">
        <v>48</v>
      </c>
      <c r="E140" s="801"/>
      <c r="F140" s="802"/>
      <c r="G140" s="196" t="s">
        <v>376</v>
      </c>
      <c r="H140" s="196" t="s">
        <v>377</v>
      </c>
      <c r="I140" s="196" t="s">
        <v>378</v>
      </c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7"/>
    </row>
    <row r="141" spans="2:32" x14ac:dyDescent="0.2">
      <c r="B141" s="803" t="s">
        <v>47</v>
      </c>
      <c r="C141" s="804"/>
      <c r="D141" s="390"/>
      <c r="E141" s="391" t="s">
        <v>360</v>
      </c>
      <c r="F141" s="392"/>
      <c r="G141" s="198" t="s">
        <v>343</v>
      </c>
      <c r="H141" s="198" t="s">
        <v>343</v>
      </c>
      <c r="I141" s="198" t="s">
        <v>343</v>
      </c>
      <c r="J141" s="198" t="s">
        <v>343</v>
      </c>
      <c r="K141" s="198" t="s">
        <v>343</v>
      </c>
      <c r="L141" s="198" t="s">
        <v>343</v>
      </c>
      <c r="M141" s="198" t="s">
        <v>343</v>
      </c>
      <c r="N141" s="198" t="s">
        <v>343</v>
      </c>
      <c r="O141" s="198" t="s">
        <v>343</v>
      </c>
      <c r="P141" s="198" t="s">
        <v>343</v>
      </c>
      <c r="Q141" s="198" t="s">
        <v>343</v>
      </c>
      <c r="R141" s="198" t="s">
        <v>343</v>
      </c>
      <c r="S141" s="198" t="s">
        <v>343</v>
      </c>
      <c r="T141" s="198" t="s">
        <v>343</v>
      </c>
      <c r="U141" s="198" t="s">
        <v>343</v>
      </c>
      <c r="V141" s="198" t="s">
        <v>343</v>
      </c>
      <c r="W141" s="198" t="s">
        <v>343</v>
      </c>
      <c r="X141" s="198" t="s">
        <v>343</v>
      </c>
      <c r="Y141" s="198" t="s">
        <v>343</v>
      </c>
      <c r="Z141" s="198" t="s">
        <v>343</v>
      </c>
      <c r="AA141" s="198" t="s">
        <v>343</v>
      </c>
      <c r="AB141" s="198" t="s">
        <v>343</v>
      </c>
      <c r="AC141" s="198" t="s">
        <v>343</v>
      </c>
      <c r="AD141" s="198" t="s">
        <v>343</v>
      </c>
      <c r="AE141" s="198" t="s">
        <v>343</v>
      </c>
      <c r="AF141" s="199" t="s">
        <v>343</v>
      </c>
    </row>
    <row r="142" spans="2:32" x14ac:dyDescent="0.2">
      <c r="B142" s="200">
        <f>'DADOS-Campanha'!$J$23</f>
        <v>0.75</v>
      </c>
      <c r="C142" s="200">
        <f>B142+$C$1</f>
        <v>0.79166666666666663</v>
      </c>
      <c r="D142" s="271">
        <f t="shared" ref="D142:D165" si="37">HOUR(B142)+HOUR($C$1)</f>
        <v>19</v>
      </c>
      <c r="E142" s="202" t="s">
        <v>339</v>
      </c>
      <c r="F142" s="203" t="s">
        <v>356</v>
      </c>
      <c r="G142" s="644">
        <v>1.7960942996085799E-3</v>
      </c>
      <c r="H142" s="644">
        <v>1.16030870682679E-4</v>
      </c>
      <c r="I142" s="644">
        <v>3.2798589267631099E-3</v>
      </c>
      <c r="J142" s="644"/>
      <c r="K142" s="644"/>
      <c r="L142" s="644"/>
      <c r="M142" s="644"/>
      <c r="N142" s="644"/>
      <c r="O142" s="644"/>
      <c r="P142" s="644"/>
      <c r="Q142" s="644"/>
      <c r="R142" s="644"/>
      <c r="S142" s="644"/>
      <c r="T142" s="644"/>
      <c r="U142" s="644"/>
      <c r="V142" s="644"/>
      <c r="W142" s="644"/>
      <c r="X142" s="644"/>
      <c r="Y142" s="644"/>
      <c r="Z142" s="644"/>
      <c r="AA142" s="644"/>
      <c r="AB142" s="644"/>
      <c r="AC142" s="644"/>
      <c r="AD142" s="644"/>
      <c r="AE142" s="644"/>
      <c r="AF142" s="204">
        <f t="shared" ref="AF142:AF151" si="38">SUM(G142:AE142)</f>
        <v>5.1919840970543691E-3</v>
      </c>
    </row>
    <row r="143" spans="2:32" x14ac:dyDescent="0.2">
      <c r="B143" s="200">
        <f>C142</f>
        <v>0.79166666666666663</v>
      </c>
      <c r="C143" s="200">
        <f>B143+$C$1</f>
        <v>0.83333333333333326</v>
      </c>
      <c r="D143" s="271">
        <f t="shared" si="37"/>
        <v>20</v>
      </c>
      <c r="E143" s="202" t="s">
        <v>339</v>
      </c>
      <c r="F143" s="203" t="s">
        <v>356</v>
      </c>
      <c r="G143" s="644">
        <v>1.7547682360777601E-3</v>
      </c>
      <c r="H143" s="644">
        <v>4.8319705051416798E-4</v>
      </c>
      <c r="I143" s="644">
        <v>3.4252948811119401E-3</v>
      </c>
      <c r="J143" s="644"/>
      <c r="K143" s="644"/>
      <c r="L143" s="644"/>
      <c r="M143" s="644"/>
      <c r="N143" s="644"/>
      <c r="O143" s="644"/>
      <c r="P143" s="644"/>
      <c r="Q143" s="644"/>
      <c r="R143" s="644"/>
      <c r="S143" s="644"/>
      <c r="T143" s="644"/>
      <c r="U143" s="644"/>
      <c r="V143" s="644"/>
      <c r="W143" s="644"/>
      <c r="X143" s="644"/>
      <c r="Y143" s="644"/>
      <c r="Z143" s="644"/>
      <c r="AA143" s="644"/>
      <c r="AB143" s="644"/>
      <c r="AC143" s="644"/>
      <c r="AD143" s="644"/>
      <c r="AE143" s="644"/>
      <c r="AF143" s="204">
        <f t="shared" si="38"/>
        <v>5.663260167703868E-3</v>
      </c>
    </row>
    <row r="144" spans="2:32" x14ac:dyDescent="0.2">
      <c r="B144" s="200">
        <f t="shared" ref="B144:B165" si="39">C143</f>
        <v>0.83333333333333326</v>
      </c>
      <c r="C144" s="200">
        <f t="shared" ref="C144:C165" si="40">B144+$C$1</f>
        <v>0.87499999999999989</v>
      </c>
      <c r="D144" s="271">
        <f t="shared" si="37"/>
        <v>21</v>
      </c>
      <c r="E144" s="202" t="s">
        <v>339</v>
      </c>
      <c r="F144" s="203" t="s">
        <v>356</v>
      </c>
      <c r="G144" s="644">
        <v>2.1664394074039799E-3</v>
      </c>
      <c r="H144" s="644">
        <v>1.07288818781929E-4</v>
      </c>
      <c r="I144" s="644">
        <v>1.44720695556957E-3</v>
      </c>
      <c r="J144" s="644"/>
      <c r="K144" s="644"/>
      <c r="L144" s="644"/>
      <c r="M144" s="644"/>
      <c r="N144" s="644"/>
      <c r="O144" s="644"/>
      <c r="P144" s="644"/>
      <c r="Q144" s="644"/>
      <c r="R144" s="644"/>
      <c r="S144" s="644"/>
      <c r="T144" s="644"/>
      <c r="U144" s="644"/>
      <c r="V144" s="644"/>
      <c r="W144" s="644"/>
      <c r="X144" s="644"/>
      <c r="Y144" s="644"/>
      <c r="Z144" s="644"/>
      <c r="AA144" s="644"/>
      <c r="AB144" s="644"/>
      <c r="AC144" s="644"/>
      <c r="AD144" s="644"/>
      <c r="AE144" s="644"/>
      <c r="AF144" s="204">
        <f t="shared" si="38"/>
        <v>3.720935181755479E-3</v>
      </c>
    </row>
    <row r="145" spans="2:32" x14ac:dyDescent="0.2">
      <c r="B145" s="200">
        <f t="shared" si="39"/>
        <v>0.87499999999999989</v>
      </c>
      <c r="C145" s="200">
        <f t="shared" si="40"/>
        <v>0.91666666666666652</v>
      </c>
      <c r="D145" s="271">
        <f t="shared" si="37"/>
        <v>22</v>
      </c>
      <c r="E145" s="202" t="s">
        <v>361</v>
      </c>
      <c r="F145" s="203" t="s">
        <v>358</v>
      </c>
      <c r="G145" s="644">
        <v>2.37942758098588E-3</v>
      </c>
      <c r="H145" s="644">
        <v>2.9325610467060501E-4</v>
      </c>
      <c r="I145" s="644">
        <v>1.51396444281166E-3</v>
      </c>
      <c r="J145" s="644"/>
      <c r="K145" s="644"/>
      <c r="L145" s="644"/>
      <c r="M145" s="644"/>
      <c r="N145" s="644"/>
      <c r="O145" s="644"/>
      <c r="P145" s="644"/>
      <c r="Q145" s="644"/>
      <c r="R145" s="644"/>
      <c r="S145" s="644"/>
      <c r="T145" s="644"/>
      <c r="U145" s="644"/>
      <c r="V145" s="644"/>
      <c r="W145" s="644"/>
      <c r="X145" s="644"/>
      <c r="Y145" s="644"/>
      <c r="Z145" s="644"/>
      <c r="AA145" s="644"/>
      <c r="AB145" s="644"/>
      <c r="AC145" s="644"/>
      <c r="AD145" s="644"/>
      <c r="AE145" s="644"/>
      <c r="AF145" s="204">
        <f t="shared" si="38"/>
        <v>4.1866481284681453E-3</v>
      </c>
    </row>
    <row r="146" spans="2:32" x14ac:dyDescent="0.2">
      <c r="B146" s="200">
        <f t="shared" si="39"/>
        <v>0.91666666666666652</v>
      </c>
      <c r="C146" s="200">
        <f t="shared" si="40"/>
        <v>0.95833333333333315</v>
      </c>
      <c r="D146" s="271">
        <f t="shared" si="37"/>
        <v>23</v>
      </c>
      <c r="E146" s="202" t="s">
        <v>340</v>
      </c>
      <c r="F146" s="203" t="s">
        <v>358</v>
      </c>
      <c r="G146" s="644">
        <v>1.24772922583428E-3</v>
      </c>
      <c r="H146" s="644">
        <v>3.4491368408412498E-4</v>
      </c>
      <c r="I146" s="644">
        <v>1.15395085089896E-3</v>
      </c>
      <c r="J146" s="644"/>
      <c r="K146" s="644"/>
      <c r="L146" s="644"/>
      <c r="M146" s="644"/>
      <c r="N146" s="644"/>
      <c r="O146" s="644"/>
      <c r="P146" s="644"/>
      <c r="Q146" s="644"/>
      <c r="R146" s="644"/>
      <c r="S146" s="644"/>
      <c r="T146" s="644"/>
      <c r="U146" s="644"/>
      <c r="V146" s="644"/>
      <c r="W146" s="644"/>
      <c r="X146" s="644"/>
      <c r="Y146" s="644"/>
      <c r="Z146" s="644"/>
      <c r="AA146" s="644"/>
      <c r="AB146" s="644"/>
      <c r="AC146" s="644"/>
      <c r="AD146" s="644"/>
      <c r="AE146" s="644"/>
      <c r="AF146" s="204">
        <f t="shared" si="38"/>
        <v>2.7465937608173651E-3</v>
      </c>
    </row>
    <row r="147" spans="2:32" x14ac:dyDescent="0.2">
      <c r="B147" s="200">
        <f t="shared" si="39"/>
        <v>0.95833333333333315</v>
      </c>
      <c r="C147" s="200">
        <f t="shared" si="40"/>
        <v>0.99999999999999978</v>
      </c>
      <c r="D147" s="271">
        <f t="shared" si="37"/>
        <v>24</v>
      </c>
      <c r="E147" s="202" t="s">
        <v>340</v>
      </c>
      <c r="F147" s="203" t="s">
        <v>358</v>
      </c>
      <c r="G147" s="644">
        <v>8.5831055025542904E-4</v>
      </c>
      <c r="H147" s="644">
        <v>9.2983642944338395E-5</v>
      </c>
      <c r="I147" s="644">
        <v>1.6411215613680199E-3</v>
      </c>
      <c r="J147" s="644"/>
      <c r="K147" s="644"/>
      <c r="L147" s="644"/>
      <c r="M147" s="644"/>
      <c r="N147" s="644"/>
      <c r="O147" s="644"/>
      <c r="P147" s="644"/>
      <c r="Q147" s="644"/>
      <c r="R147" s="644"/>
      <c r="S147" s="644"/>
      <c r="T147" s="644"/>
      <c r="U147" s="644"/>
      <c r="V147" s="644"/>
      <c r="W147" s="644"/>
      <c r="X147" s="644"/>
      <c r="Y147" s="644"/>
      <c r="Z147" s="644"/>
      <c r="AA147" s="644"/>
      <c r="AB147" s="644"/>
      <c r="AC147" s="644"/>
      <c r="AD147" s="644"/>
      <c r="AE147" s="644"/>
      <c r="AF147" s="204">
        <f t="shared" si="38"/>
        <v>2.5924157545677874E-3</v>
      </c>
    </row>
    <row r="148" spans="2:32" x14ac:dyDescent="0.2">
      <c r="B148" s="200">
        <f t="shared" si="39"/>
        <v>0.99999999999999978</v>
      </c>
      <c r="C148" s="200">
        <f t="shared" si="40"/>
        <v>1.0416666666666665</v>
      </c>
      <c r="D148" s="271">
        <f t="shared" si="37"/>
        <v>1</v>
      </c>
      <c r="E148" s="202" t="s">
        <v>340</v>
      </c>
      <c r="F148" s="203" t="s">
        <v>358</v>
      </c>
      <c r="G148" s="644">
        <v>5.4121248585550601E-4</v>
      </c>
      <c r="H148" s="644">
        <v>1.1523613869170101E-4</v>
      </c>
      <c r="I148" s="644">
        <v>1.0641461359185401E-3</v>
      </c>
      <c r="J148" s="644"/>
      <c r="K148" s="644"/>
      <c r="L148" s="644"/>
      <c r="M148" s="644"/>
      <c r="N148" s="644"/>
      <c r="O148" s="644"/>
      <c r="P148" s="644"/>
      <c r="Q148" s="644"/>
      <c r="R148" s="644"/>
      <c r="S148" s="644"/>
      <c r="T148" s="644"/>
      <c r="U148" s="644"/>
      <c r="V148" s="644"/>
      <c r="W148" s="644"/>
      <c r="X148" s="644"/>
      <c r="Y148" s="644"/>
      <c r="Z148" s="644"/>
      <c r="AA148" s="644"/>
      <c r="AB148" s="644"/>
      <c r="AC148" s="644"/>
      <c r="AD148" s="644"/>
      <c r="AE148" s="644"/>
      <c r="AF148" s="204">
        <f t="shared" si="38"/>
        <v>1.720594760465747E-3</v>
      </c>
    </row>
    <row r="149" spans="2:32" x14ac:dyDescent="0.2">
      <c r="B149" s="200">
        <f t="shared" si="39"/>
        <v>1.0416666666666665</v>
      </c>
      <c r="C149" s="200">
        <f t="shared" si="40"/>
        <v>1.0833333333333333</v>
      </c>
      <c r="D149" s="271">
        <f t="shared" si="37"/>
        <v>2</v>
      </c>
      <c r="E149" s="202" t="s">
        <v>340</v>
      </c>
      <c r="F149" s="203" t="s">
        <v>358</v>
      </c>
      <c r="G149" s="644">
        <v>4.8240231852319002E-4</v>
      </c>
      <c r="H149" s="644">
        <v>1.14441406700724E-4</v>
      </c>
      <c r="I149" s="644">
        <v>8.8692090193060802E-4</v>
      </c>
      <c r="J149" s="644"/>
      <c r="K149" s="644"/>
      <c r="L149" s="644"/>
      <c r="M149" s="644"/>
      <c r="N149" s="644"/>
      <c r="O149" s="644"/>
      <c r="P149" s="644"/>
      <c r="Q149" s="644"/>
      <c r="R149" s="644"/>
      <c r="S149" s="644"/>
      <c r="T149" s="644"/>
      <c r="U149" s="644"/>
      <c r="V149" s="644"/>
      <c r="W149" s="644"/>
      <c r="X149" s="644"/>
      <c r="Y149" s="644"/>
      <c r="Z149" s="644"/>
      <c r="AA149" s="644"/>
      <c r="AB149" s="644"/>
      <c r="AC149" s="644"/>
      <c r="AD149" s="644"/>
      <c r="AE149" s="644"/>
      <c r="AF149" s="204">
        <f t="shared" si="38"/>
        <v>1.4837646271545222E-3</v>
      </c>
    </row>
    <row r="150" spans="2:32" x14ac:dyDescent="0.2">
      <c r="B150" s="200">
        <f t="shared" si="39"/>
        <v>1.0833333333333333</v>
      </c>
      <c r="C150" s="200">
        <f t="shared" si="40"/>
        <v>1.125</v>
      </c>
      <c r="D150" s="271">
        <f t="shared" si="37"/>
        <v>3</v>
      </c>
      <c r="E150" s="202" t="s">
        <v>340</v>
      </c>
      <c r="F150" s="203" t="s">
        <v>358</v>
      </c>
      <c r="G150" s="644">
        <v>5.97638457214891E-4</v>
      </c>
      <c r="H150" s="644">
        <v>9.4573106926292897E-5</v>
      </c>
      <c r="I150" s="644">
        <v>9.3460482138924396E-4</v>
      </c>
      <c r="J150" s="644"/>
      <c r="K150" s="644"/>
      <c r="L150" s="644"/>
      <c r="M150" s="644"/>
      <c r="N150" s="644"/>
      <c r="O150" s="644"/>
      <c r="P150" s="644"/>
      <c r="Q150" s="644"/>
      <c r="R150" s="644"/>
      <c r="S150" s="644"/>
      <c r="T150" s="644"/>
      <c r="U150" s="644"/>
      <c r="V150" s="644"/>
      <c r="W150" s="644"/>
      <c r="X150" s="644"/>
      <c r="Y150" s="644"/>
      <c r="Z150" s="644"/>
      <c r="AA150" s="644"/>
      <c r="AB150" s="644"/>
      <c r="AC150" s="644"/>
      <c r="AD150" s="644"/>
      <c r="AE150" s="644"/>
      <c r="AF150" s="204">
        <f t="shared" si="38"/>
        <v>1.626816385530428E-3</v>
      </c>
    </row>
    <row r="151" spans="2:32" x14ac:dyDescent="0.2">
      <c r="B151" s="200">
        <f t="shared" si="39"/>
        <v>1.125</v>
      </c>
      <c r="C151" s="200">
        <f t="shared" si="40"/>
        <v>1.1666666666666667</v>
      </c>
      <c r="D151" s="271">
        <f t="shared" si="37"/>
        <v>4</v>
      </c>
      <c r="E151" s="202" t="s">
        <v>340</v>
      </c>
      <c r="F151" s="203" t="s">
        <v>358</v>
      </c>
      <c r="G151" s="644">
        <v>5.7935962142241395E-4</v>
      </c>
      <c r="H151" s="644">
        <v>1.10467746745838E-4</v>
      </c>
      <c r="I151" s="644">
        <v>9.2506803749751695E-4</v>
      </c>
      <c r="J151" s="644"/>
      <c r="K151" s="644"/>
      <c r="L151" s="644"/>
      <c r="M151" s="644"/>
      <c r="N151" s="644"/>
      <c r="O151" s="644"/>
      <c r="P151" s="644"/>
      <c r="Q151" s="644"/>
      <c r="R151" s="644"/>
      <c r="S151" s="644"/>
      <c r="T151" s="644"/>
      <c r="U151" s="644"/>
      <c r="V151" s="644"/>
      <c r="W151" s="644"/>
      <c r="X151" s="644"/>
      <c r="Y151" s="644"/>
      <c r="Z151" s="644"/>
      <c r="AA151" s="644"/>
      <c r="AB151" s="644"/>
      <c r="AC151" s="644"/>
      <c r="AD151" s="644"/>
      <c r="AE151" s="644"/>
      <c r="AF151" s="204">
        <f t="shared" si="38"/>
        <v>1.6148954056657689E-3</v>
      </c>
    </row>
    <row r="152" spans="2:32" x14ac:dyDescent="0.2">
      <c r="B152" s="200">
        <f t="shared" si="39"/>
        <v>1.1666666666666667</v>
      </c>
      <c r="C152" s="200">
        <f t="shared" si="40"/>
        <v>1.2083333333333335</v>
      </c>
      <c r="D152" s="271">
        <f t="shared" si="37"/>
        <v>5</v>
      </c>
      <c r="E152" s="202" t="s">
        <v>340</v>
      </c>
      <c r="F152" s="203" t="s">
        <v>358</v>
      </c>
      <c r="G152" s="644">
        <v>5.7141230151264101E-4</v>
      </c>
      <c r="H152" s="644">
        <v>1.14441406700724E-4</v>
      </c>
      <c r="I152" s="644">
        <v>8.6864206613813195E-4</v>
      </c>
      <c r="J152" s="644"/>
      <c r="K152" s="644"/>
      <c r="L152" s="644"/>
      <c r="M152" s="644"/>
      <c r="N152" s="644"/>
      <c r="O152" s="644"/>
      <c r="P152" s="644"/>
      <c r="Q152" s="644"/>
      <c r="R152" s="644"/>
      <c r="S152" s="644"/>
      <c r="T152" s="644"/>
      <c r="U152" s="644"/>
      <c r="V152" s="644"/>
      <c r="W152" s="644"/>
      <c r="X152" s="644"/>
      <c r="Y152" s="644"/>
      <c r="Z152" s="644"/>
      <c r="AA152" s="644"/>
      <c r="AB152" s="644"/>
      <c r="AC152" s="644"/>
      <c r="AD152" s="644"/>
      <c r="AE152" s="644"/>
      <c r="AF152" s="204">
        <f t="shared" ref="AF152:AF165" si="41">SUM(G152:AE152)</f>
        <v>1.5544957743514969E-3</v>
      </c>
    </row>
    <row r="153" spans="2:32" x14ac:dyDescent="0.2">
      <c r="B153" s="200">
        <f t="shared" si="39"/>
        <v>1.2083333333333335</v>
      </c>
      <c r="C153" s="200">
        <f t="shared" si="40"/>
        <v>1.2500000000000002</v>
      </c>
      <c r="D153" s="271">
        <f t="shared" si="37"/>
        <v>6</v>
      </c>
      <c r="E153" s="202" t="s">
        <v>340</v>
      </c>
      <c r="F153" s="203" t="s">
        <v>358</v>
      </c>
      <c r="G153" s="644">
        <v>4.6094455476680403E-4</v>
      </c>
      <c r="H153" s="644">
        <v>1.08083550772906E-4</v>
      </c>
      <c r="I153" s="644">
        <v>9.4255214129901799E-4</v>
      </c>
      <c r="J153" s="644"/>
      <c r="K153" s="644"/>
      <c r="L153" s="644"/>
      <c r="M153" s="644"/>
      <c r="N153" s="644"/>
      <c r="O153" s="644"/>
      <c r="P153" s="644"/>
      <c r="Q153" s="644"/>
      <c r="R153" s="644"/>
      <c r="S153" s="644"/>
      <c r="T153" s="644"/>
      <c r="U153" s="644"/>
      <c r="V153" s="644"/>
      <c r="W153" s="644"/>
      <c r="X153" s="644"/>
      <c r="Y153" s="644"/>
      <c r="Z153" s="644"/>
      <c r="AA153" s="644"/>
      <c r="AB153" s="644"/>
      <c r="AC153" s="644"/>
      <c r="AD153" s="644"/>
      <c r="AE153" s="644"/>
      <c r="AF153" s="204">
        <f t="shared" si="41"/>
        <v>1.5115802468387281E-3</v>
      </c>
    </row>
    <row r="154" spans="2:32" x14ac:dyDescent="0.2">
      <c r="B154" s="200">
        <f t="shared" si="39"/>
        <v>1.2500000000000002</v>
      </c>
      <c r="C154" s="200">
        <f t="shared" si="40"/>
        <v>1.291666666666667</v>
      </c>
      <c r="D154" s="271">
        <f t="shared" si="37"/>
        <v>7</v>
      </c>
      <c r="E154" s="202" t="s">
        <v>340</v>
      </c>
      <c r="F154" s="203" t="s">
        <v>358</v>
      </c>
      <c r="G154" s="644">
        <v>6.6598540843893503E-4</v>
      </c>
      <c r="H154" s="644">
        <v>9.2983642944338395E-5</v>
      </c>
      <c r="I154" s="644">
        <v>1.46945945131693E-3</v>
      </c>
      <c r="J154" s="644"/>
      <c r="K154" s="644"/>
      <c r="L154" s="644"/>
      <c r="M154" s="644"/>
      <c r="N154" s="644"/>
      <c r="O154" s="644"/>
      <c r="P154" s="644"/>
      <c r="Q154" s="644"/>
      <c r="R154" s="644"/>
      <c r="S154" s="644"/>
      <c r="T154" s="644"/>
      <c r="U154" s="644"/>
      <c r="V154" s="644"/>
      <c r="W154" s="644"/>
      <c r="X154" s="644"/>
      <c r="Y154" s="644"/>
      <c r="Z154" s="644"/>
      <c r="AA154" s="644"/>
      <c r="AB154" s="644"/>
      <c r="AC154" s="644"/>
      <c r="AD154" s="644"/>
      <c r="AE154" s="644"/>
      <c r="AF154" s="204">
        <f t="shared" si="41"/>
        <v>2.2284285027002037E-3</v>
      </c>
    </row>
    <row r="155" spans="2:32" x14ac:dyDescent="0.2">
      <c r="B155" s="200">
        <f t="shared" si="39"/>
        <v>1.291666666666667</v>
      </c>
      <c r="C155" s="200">
        <f t="shared" si="40"/>
        <v>1.3333333333333337</v>
      </c>
      <c r="D155" s="271">
        <f t="shared" si="37"/>
        <v>8</v>
      </c>
      <c r="E155" s="202" t="s">
        <v>340</v>
      </c>
      <c r="F155" s="203" t="s">
        <v>358</v>
      </c>
      <c r="G155" s="644">
        <v>6.4770657264645701E-4</v>
      </c>
      <c r="H155" s="644">
        <v>2.5749316507662898E-4</v>
      </c>
      <c r="I155" s="644">
        <v>1.35501804461621E-3</v>
      </c>
      <c r="J155" s="644"/>
      <c r="K155" s="644"/>
      <c r="L155" s="644"/>
      <c r="M155" s="644"/>
      <c r="N155" s="644"/>
      <c r="O155" s="644"/>
      <c r="P155" s="644"/>
      <c r="Q155" s="644"/>
      <c r="R155" s="644"/>
      <c r="S155" s="644"/>
      <c r="T155" s="644"/>
      <c r="U155" s="644"/>
      <c r="V155" s="644"/>
      <c r="W155" s="644"/>
      <c r="X155" s="644"/>
      <c r="Y155" s="644"/>
      <c r="Z155" s="644"/>
      <c r="AA155" s="644"/>
      <c r="AB155" s="644"/>
      <c r="AC155" s="644"/>
      <c r="AD155" s="644"/>
      <c r="AE155" s="644"/>
      <c r="AF155" s="204">
        <f t="shared" si="41"/>
        <v>2.2602177823392959E-3</v>
      </c>
    </row>
    <row r="156" spans="2:32" x14ac:dyDescent="0.2">
      <c r="B156" s="200">
        <f t="shared" si="39"/>
        <v>1.3333333333333337</v>
      </c>
      <c r="C156" s="200">
        <f t="shared" si="40"/>
        <v>1.3750000000000004</v>
      </c>
      <c r="D156" s="271">
        <f t="shared" si="37"/>
        <v>9</v>
      </c>
      <c r="E156" s="202" t="s">
        <v>340</v>
      </c>
      <c r="F156" s="203" t="s">
        <v>358</v>
      </c>
      <c r="G156" s="644">
        <v>6.4611710866450402E-4</v>
      </c>
      <c r="H156" s="644">
        <v>1.06494099680836E-4</v>
      </c>
      <c r="I156" s="644">
        <v>1.5425747944868399E-3</v>
      </c>
      <c r="J156" s="644"/>
      <c r="K156" s="644"/>
      <c r="L156" s="644"/>
      <c r="M156" s="644"/>
      <c r="N156" s="644"/>
      <c r="O156" s="644"/>
      <c r="P156" s="644"/>
      <c r="Q156" s="644"/>
      <c r="R156" s="644"/>
      <c r="S156" s="644"/>
      <c r="T156" s="644"/>
      <c r="U156" s="644"/>
      <c r="V156" s="644"/>
      <c r="W156" s="644"/>
      <c r="X156" s="644"/>
      <c r="Y156" s="644"/>
      <c r="Z156" s="644"/>
      <c r="AA156" s="644"/>
      <c r="AB156" s="644"/>
      <c r="AC156" s="644"/>
      <c r="AD156" s="644"/>
      <c r="AE156" s="644"/>
      <c r="AF156" s="204">
        <f t="shared" si="41"/>
        <v>2.2951860028321801E-3</v>
      </c>
    </row>
    <row r="157" spans="2:32" x14ac:dyDescent="0.2">
      <c r="B157" s="200">
        <f t="shared" si="39"/>
        <v>1.3750000000000004</v>
      </c>
      <c r="C157" s="200">
        <f t="shared" si="40"/>
        <v>1.4166666666666672</v>
      </c>
      <c r="D157" s="271">
        <f t="shared" si="37"/>
        <v>10</v>
      </c>
      <c r="E157" s="202" t="s">
        <v>340</v>
      </c>
      <c r="F157" s="203" t="s">
        <v>358</v>
      </c>
      <c r="G157" s="644">
        <v>7.6771110328402101E-4</v>
      </c>
      <c r="H157" s="644">
        <v>8.5036323034566006E-5</v>
      </c>
      <c r="I157" s="644">
        <v>1.1213668392689E-3</v>
      </c>
      <c r="J157" s="644"/>
      <c r="K157" s="644"/>
      <c r="L157" s="644"/>
      <c r="M157" s="644"/>
      <c r="N157" s="644"/>
      <c r="O157" s="644"/>
      <c r="P157" s="644"/>
      <c r="Q157" s="644"/>
      <c r="R157" s="644"/>
      <c r="S157" s="644"/>
      <c r="T157" s="644"/>
      <c r="U157" s="644"/>
      <c r="V157" s="644"/>
      <c r="W157" s="644"/>
      <c r="X157" s="644"/>
      <c r="Y157" s="644"/>
      <c r="Z157" s="644"/>
      <c r="AA157" s="644"/>
      <c r="AB157" s="644"/>
      <c r="AC157" s="644"/>
      <c r="AD157" s="644"/>
      <c r="AE157" s="644"/>
      <c r="AF157" s="204">
        <f t="shared" si="41"/>
        <v>1.9741142655874868E-3</v>
      </c>
    </row>
    <row r="158" spans="2:32" x14ac:dyDescent="0.2">
      <c r="B158" s="200">
        <f t="shared" si="39"/>
        <v>1.4166666666666672</v>
      </c>
      <c r="C158" s="200">
        <f t="shared" si="40"/>
        <v>1.4583333333333339</v>
      </c>
      <c r="D158" s="271">
        <f t="shared" si="37"/>
        <v>11</v>
      </c>
      <c r="E158" s="202" t="s">
        <v>340</v>
      </c>
      <c r="F158" s="203" t="s">
        <v>358</v>
      </c>
      <c r="G158" s="644">
        <v>7.3194816369004498E-4</v>
      </c>
      <c r="H158" s="644">
        <v>5.9922792119684605E-4</v>
      </c>
      <c r="I158" s="644">
        <v>1.07686184777417E-3</v>
      </c>
      <c r="J158" s="644"/>
      <c r="K158" s="644"/>
      <c r="L158" s="644"/>
      <c r="M158" s="644"/>
      <c r="N158" s="644"/>
      <c r="O158" s="644"/>
      <c r="P158" s="644"/>
      <c r="Q158" s="644"/>
      <c r="R158" s="644"/>
      <c r="S158" s="644"/>
      <c r="T158" s="644"/>
      <c r="U158" s="644"/>
      <c r="V158" s="644"/>
      <c r="W158" s="644"/>
      <c r="X158" s="644"/>
      <c r="Y158" s="644"/>
      <c r="Z158" s="644"/>
      <c r="AA158" s="644"/>
      <c r="AB158" s="644"/>
      <c r="AC158" s="644"/>
      <c r="AD158" s="644"/>
      <c r="AE158" s="644"/>
      <c r="AF158" s="204">
        <f t="shared" si="41"/>
        <v>2.4080379326610613E-3</v>
      </c>
    </row>
    <row r="159" spans="2:32" x14ac:dyDescent="0.2">
      <c r="B159" s="200">
        <f t="shared" si="39"/>
        <v>1.4583333333333339</v>
      </c>
      <c r="C159" s="200">
        <f t="shared" si="40"/>
        <v>1.5000000000000007</v>
      </c>
      <c r="D159" s="271">
        <f t="shared" si="37"/>
        <v>12</v>
      </c>
      <c r="E159" s="202" t="s">
        <v>340</v>
      </c>
      <c r="F159" s="203" t="s">
        <v>358</v>
      </c>
      <c r="G159" s="644">
        <v>1.1944821824387999E-3</v>
      </c>
      <c r="H159" s="644">
        <v>6.8982736816825105E-4</v>
      </c>
      <c r="I159" s="644">
        <v>1.09275648759372E-3</v>
      </c>
      <c r="J159" s="644"/>
      <c r="K159" s="644"/>
      <c r="L159" s="644"/>
      <c r="M159" s="644"/>
      <c r="N159" s="644"/>
      <c r="O159" s="644"/>
      <c r="P159" s="644"/>
      <c r="Q159" s="644"/>
      <c r="R159" s="644"/>
      <c r="S159" s="644"/>
      <c r="T159" s="644"/>
      <c r="U159" s="644"/>
      <c r="V159" s="644"/>
      <c r="W159" s="644"/>
      <c r="X159" s="644"/>
      <c r="Y159" s="644"/>
      <c r="Z159" s="644"/>
      <c r="AA159" s="644"/>
      <c r="AB159" s="644"/>
      <c r="AC159" s="644"/>
      <c r="AD159" s="644"/>
      <c r="AE159" s="644"/>
      <c r="AF159" s="204">
        <f t="shared" si="41"/>
        <v>2.9770660382007711E-3</v>
      </c>
    </row>
    <row r="160" spans="2:32" x14ac:dyDescent="0.2">
      <c r="B160" s="200">
        <f t="shared" si="39"/>
        <v>1.5000000000000007</v>
      </c>
      <c r="C160" s="200">
        <f t="shared" si="40"/>
        <v>1.5416666666666674</v>
      </c>
      <c r="D160" s="271">
        <f t="shared" si="37"/>
        <v>13</v>
      </c>
      <c r="E160" s="202" t="s">
        <v>340</v>
      </c>
      <c r="F160" s="203" t="s">
        <v>358</v>
      </c>
      <c r="G160" s="644">
        <v>1.1483877269621199E-3</v>
      </c>
      <c r="H160" s="644">
        <v>2.09809245617994E-4</v>
      </c>
      <c r="I160" s="644">
        <v>1.5044276589199299E-3</v>
      </c>
      <c r="J160" s="644"/>
      <c r="K160" s="644"/>
      <c r="L160" s="644"/>
      <c r="M160" s="644"/>
      <c r="N160" s="644"/>
      <c r="O160" s="644"/>
      <c r="P160" s="644"/>
      <c r="Q160" s="644"/>
      <c r="R160" s="644"/>
      <c r="S160" s="644"/>
      <c r="T160" s="644"/>
      <c r="U160" s="644"/>
      <c r="V160" s="644"/>
      <c r="W160" s="644"/>
      <c r="X160" s="644"/>
      <c r="Y160" s="644"/>
      <c r="Z160" s="644"/>
      <c r="AA160" s="644"/>
      <c r="AB160" s="644"/>
      <c r="AC160" s="644"/>
      <c r="AD160" s="644"/>
      <c r="AE160" s="644"/>
      <c r="AF160" s="204">
        <f t="shared" si="41"/>
        <v>2.8626246315000439E-3</v>
      </c>
    </row>
    <row r="161" spans="2:32" x14ac:dyDescent="0.2">
      <c r="B161" s="200">
        <f t="shared" si="39"/>
        <v>1.5416666666666674</v>
      </c>
      <c r="C161" s="200">
        <f t="shared" si="40"/>
        <v>1.5833333333333341</v>
      </c>
      <c r="D161" s="271">
        <f t="shared" si="37"/>
        <v>14</v>
      </c>
      <c r="E161" s="202" t="s">
        <v>340</v>
      </c>
      <c r="F161" s="203" t="s">
        <v>358</v>
      </c>
      <c r="G161" s="644">
        <v>1.2294503900418001E-3</v>
      </c>
      <c r="H161" s="644">
        <v>9.3539955338021996E-4</v>
      </c>
      <c r="I161" s="644">
        <v>1.2119662862403E-3</v>
      </c>
      <c r="J161" s="644"/>
      <c r="K161" s="644"/>
      <c r="L161" s="644"/>
      <c r="M161" s="644"/>
      <c r="N161" s="644"/>
      <c r="O161" s="644"/>
      <c r="P161" s="644"/>
      <c r="Q161" s="644"/>
      <c r="R161" s="644"/>
      <c r="S161" s="644"/>
      <c r="T161" s="644"/>
      <c r="U161" s="644"/>
      <c r="V161" s="644"/>
      <c r="W161" s="644"/>
      <c r="X161" s="644"/>
      <c r="Y161" s="644"/>
      <c r="Z161" s="644"/>
      <c r="AA161" s="644"/>
      <c r="AB161" s="644"/>
      <c r="AC161" s="644"/>
      <c r="AD161" s="644"/>
      <c r="AE161" s="644"/>
      <c r="AF161" s="204">
        <f t="shared" si="41"/>
        <v>3.3768162296623199E-3</v>
      </c>
    </row>
    <row r="162" spans="2:32" x14ac:dyDescent="0.2">
      <c r="B162" s="200">
        <f t="shared" si="39"/>
        <v>1.5833333333333341</v>
      </c>
      <c r="C162" s="200">
        <f t="shared" si="40"/>
        <v>1.6250000000000009</v>
      </c>
      <c r="D162" s="271">
        <f t="shared" si="37"/>
        <v>15</v>
      </c>
      <c r="E162" s="202" t="s">
        <v>340</v>
      </c>
      <c r="F162" s="203" t="s">
        <v>358</v>
      </c>
      <c r="G162" s="644">
        <v>1.0259990003516301E-3</v>
      </c>
      <c r="H162" s="644">
        <v>9.4255214129901799E-4</v>
      </c>
      <c r="I162" s="644">
        <v>1.0824249717110101E-3</v>
      </c>
      <c r="J162" s="644"/>
      <c r="K162" s="644"/>
      <c r="L162" s="644"/>
      <c r="M162" s="644"/>
      <c r="N162" s="644"/>
      <c r="O162" s="644"/>
      <c r="P162" s="644"/>
      <c r="Q162" s="644"/>
      <c r="R162" s="644"/>
      <c r="S162" s="644"/>
      <c r="T162" s="644"/>
      <c r="U162" s="644"/>
      <c r="V162" s="644"/>
      <c r="W162" s="644"/>
      <c r="X162" s="644"/>
      <c r="Y162" s="644"/>
      <c r="Z162" s="644"/>
      <c r="AA162" s="644"/>
      <c r="AB162" s="644"/>
      <c r="AC162" s="644"/>
      <c r="AD162" s="644"/>
      <c r="AE162" s="644"/>
      <c r="AF162" s="204">
        <f t="shared" si="41"/>
        <v>3.0509761133616581E-3</v>
      </c>
    </row>
    <row r="163" spans="2:32" x14ac:dyDescent="0.2">
      <c r="B163" s="200">
        <f t="shared" si="39"/>
        <v>1.6250000000000009</v>
      </c>
      <c r="C163" s="200">
        <f t="shared" si="40"/>
        <v>1.6666666666666676</v>
      </c>
      <c r="D163" s="271">
        <f t="shared" si="37"/>
        <v>16</v>
      </c>
      <c r="E163" s="202" t="s">
        <v>340</v>
      </c>
      <c r="F163" s="203" t="s">
        <v>358</v>
      </c>
      <c r="G163" s="644">
        <v>1.57595353810788E-3</v>
      </c>
      <c r="H163" s="644">
        <v>1.74841038014995E-4</v>
      </c>
      <c r="I163" s="644">
        <v>1.09355121958469E-3</v>
      </c>
      <c r="J163" s="644"/>
      <c r="K163" s="644"/>
      <c r="L163" s="644"/>
      <c r="M163" s="644"/>
      <c r="N163" s="644"/>
      <c r="O163" s="644"/>
      <c r="P163" s="644"/>
      <c r="Q163" s="644"/>
      <c r="R163" s="644"/>
      <c r="S163" s="644"/>
      <c r="T163" s="644"/>
      <c r="U163" s="644"/>
      <c r="V163" s="644"/>
      <c r="W163" s="644"/>
      <c r="X163" s="644"/>
      <c r="Y163" s="644"/>
      <c r="Z163" s="644"/>
      <c r="AA163" s="644"/>
      <c r="AB163" s="644"/>
      <c r="AC163" s="644"/>
      <c r="AD163" s="644"/>
      <c r="AE163" s="644"/>
      <c r="AF163" s="204">
        <f t="shared" si="41"/>
        <v>2.8443457957075648E-3</v>
      </c>
    </row>
    <row r="164" spans="2:32" x14ac:dyDescent="0.2">
      <c r="B164" s="200">
        <f t="shared" si="39"/>
        <v>1.6666666666666676</v>
      </c>
      <c r="C164" s="200">
        <f t="shared" si="40"/>
        <v>1.7083333333333344</v>
      </c>
      <c r="D164" s="271">
        <f t="shared" si="37"/>
        <v>17</v>
      </c>
      <c r="E164" s="202" t="s">
        <v>340</v>
      </c>
      <c r="F164" s="203" t="s">
        <v>358</v>
      </c>
      <c r="G164" s="644">
        <v>2.0543821966761901E-3</v>
      </c>
      <c r="H164" s="644">
        <v>8.9009982989452194E-5</v>
      </c>
      <c r="I164" s="644">
        <v>9.9341498872156206E-4</v>
      </c>
      <c r="J164" s="644"/>
      <c r="K164" s="644"/>
      <c r="L164" s="644"/>
      <c r="M164" s="644"/>
      <c r="N164" s="644"/>
      <c r="O164" s="644"/>
      <c r="P164" s="644"/>
      <c r="Q164" s="644"/>
      <c r="R164" s="644"/>
      <c r="S164" s="644"/>
      <c r="T164" s="644"/>
      <c r="U164" s="644"/>
      <c r="V164" s="644"/>
      <c r="W164" s="644"/>
      <c r="X164" s="644"/>
      <c r="Y164" s="644"/>
      <c r="Z164" s="644"/>
      <c r="AA164" s="644"/>
      <c r="AB164" s="644"/>
      <c r="AC164" s="644"/>
      <c r="AD164" s="644"/>
      <c r="AE164" s="644"/>
      <c r="AF164" s="204">
        <f t="shared" si="41"/>
        <v>3.1368071683872045E-3</v>
      </c>
    </row>
    <row r="165" spans="2:32" x14ac:dyDescent="0.2">
      <c r="B165" s="200">
        <f t="shared" si="39"/>
        <v>1.7083333333333344</v>
      </c>
      <c r="C165" s="200">
        <f t="shared" si="40"/>
        <v>1.7500000000000011</v>
      </c>
      <c r="D165" s="271">
        <f t="shared" si="37"/>
        <v>18</v>
      </c>
      <c r="E165" s="202" t="s">
        <v>361</v>
      </c>
      <c r="F165" s="203" t="s">
        <v>358</v>
      </c>
      <c r="G165" s="644">
        <v>2.1123976320175201E-3</v>
      </c>
      <c r="H165" s="644">
        <v>3.3299270421946697E-4</v>
      </c>
      <c r="I165" s="644">
        <v>1.2405766379154799E-3</v>
      </c>
      <c r="J165" s="644"/>
      <c r="K165" s="644"/>
      <c r="L165" s="644"/>
      <c r="M165" s="644"/>
      <c r="N165" s="644"/>
      <c r="O165" s="644"/>
      <c r="P165" s="644"/>
      <c r="Q165" s="644"/>
      <c r="R165" s="644"/>
      <c r="S165" s="644"/>
      <c r="T165" s="644"/>
      <c r="U165" s="644"/>
      <c r="V165" s="644"/>
      <c r="W165" s="644"/>
      <c r="X165" s="644"/>
      <c r="Y165" s="644"/>
      <c r="Z165" s="644"/>
      <c r="AA165" s="644"/>
      <c r="AB165" s="644"/>
      <c r="AC165" s="644"/>
      <c r="AD165" s="644"/>
      <c r="AE165" s="644"/>
      <c r="AF165" s="204">
        <f t="shared" si="41"/>
        <v>3.6859669741524667E-3</v>
      </c>
    </row>
    <row r="166" spans="2:32" x14ac:dyDescent="0.2">
      <c r="B166" s="205"/>
      <c r="C166" s="205" t="s">
        <v>622</v>
      </c>
      <c r="D166" s="205"/>
      <c r="E166" s="205"/>
      <c r="F166" s="205" t="s">
        <v>356</v>
      </c>
      <c r="G166" s="206">
        <f t="shared" ref="G166:P166" si="42">MAX(G142:G144)</f>
        <v>2.1664394074039799E-3</v>
      </c>
      <c r="H166" s="206">
        <f t="shared" si="42"/>
        <v>4.8319705051416798E-4</v>
      </c>
      <c r="I166" s="206">
        <f t="shared" si="42"/>
        <v>3.4252948811119401E-3</v>
      </c>
      <c r="J166" s="206">
        <f t="shared" si="42"/>
        <v>0</v>
      </c>
      <c r="K166" s="206">
        <f t="shared" si="42"/>
        <v>0</v>
      </c>
      <c r="L166" s="206">
        <f t="shared" si="42"/>
        <v>0</v>
      </c>
      <c r="M166" s="206">
        <f t="shared" si="42"/>
        <v>0</v>
      </c>
      <c r="N166" s="206">
        <f t="shared" si="42"/>
        <v>0</v>
      </c>
      <c r="O166" s="206">
        <f t="shared" si="42"/>
        <v>0</v>
      </c>
      <c r="P166" s="206">
        <f t="shared" si="42"/>
        <v>0</v>
      </c>
      <c r="Q166" s="206">
        <f t="shared" ref="Q166:AF166" si="43">MAX(Q142:Q144)</f>
        <v>0</v>
      </c>
      <c r="R166" s="206">
        <f t="shared" si="43"/>
        <v>0</v>
      </c>
      <c r="S166" s="206">
        <f t="shared" si="43"/>
        <v>0</v>
      </c>
      <c r="T166" s="206">
        <f t="shared" si="43"/>
        <v>0</v>
      </c>
      <c r="U166" s="206">
        <f t="shared" si="43"/>
        <v>0</v>
      </c>
      <c r="V166" s="206">
        <f t="shared" si="43"/>
        <v>0</v>
      </c>
      <c r="W166" s="206">
        <f t="shared" si="43"/>
        <v>0</v>
      </c>
      <c r="X166" s="206">
        <f t="shared" si="43"/>
        <v>0</v>
      </c>
      <c r="Y166" s="206">
        <f t="shared" si="43"/>
        <v>0</v>
      </c>
      <c r="Z166" s="206">
        <f t="shared" si="43"/>
        <v>0</v>
      </c>
      <c r="AA166" s="206">
        <f t="shared" si="43"/>
        <v>0</v>
      </c>
      <c r="AB166" s="206">
        <f t="shared" si="43"/>
        <v>0</v>
      </c>
      <c r="AC166" s="206">
        <f t="shared" si="43"/>
        <v>0</v>
      </c>
      <c r="AD166" s="206">
        <f t="shared" si="43"/>
        <v>0</v>
      </c>
      <c r="AE166" s="206">
        <f t="shared" si="43"/>
        <v>0</v>
      </c>
      <c r="AF166" s="206">
        <f t="shared" si="43"/>
        <v>5.663260167703868E-3</v>
      </c>
    </row>
    <row r="167" spans="2:32" x14ac:dyDescent="0.2">
      <c r="B167" s="205"/>
      <c r="C167" s="205" t="s">
        <v>622</v>
      </c>
      <c r="D167" s="205"/>
      <c r="E167" s="205"/>
      <c r="F167" s="205" t="s">
        <v>358</v>
      </c>
      <c r="G167" s="206">
        <f t="shared" ref="G167:P167" si="44">MAX(G145:G165)</f>
        <v>2.37942758098588E-3</v>
      </c>
      <c r="H167" s="206">
        <f t="shared" si="44"/>
        <v>9.4255214129901799E-4</v>
      </c>
      <c r="I167" s="206">
        <f t="shared" si="44"/>
        <v>1.6411215613680199E-3</v>
      </c>
      <c r="J167" s="206">
        <f t="shared" si="44"/>
        <v>0</v>
      </c>
      <c r="K167" s="206">
        <f t="shared" si="44"/>
        <v>0</v>
      </c>
      <c r="L167" s="206">
        <f t="shared" si="44"/>
        <v>0</v>
      </c>
      <c r="M167" s="206">
        <f t="shared" si="44"/>
        <v>0</v>
      </c>
      <c r="N167" s="206">
        <f t="shared" si="44"/>
        <v>0</v>
      </c>
      <c r="O167" s="206">
        <f t="shared" si="44"/>
        <v>0</v>
      </c>
      <c r="P167" s="206">
        <f t="shared" si="44"/>
        <v>0</v>
      </c>
      <c r="Q167" s="206">
        <f t="shared" ref="Q167:AF167" si="45">MAX(Q145:Q165)</f>
        <v>0</v>
      </c>
      <c r="R167" s="206">
        <f t="shared" si="45"/>
        <v>0</v>
      </c>
      <c r="S167" s="206">
        <f t="shared" si="45"/>
        <v>0</v>
      </c>
      <c r="T167" s="206">
        <f t="shared" si="45"/>
        <v>0</v>
      </c>
      <c r="U167" s="206">
        <f t="shared" si="45"/>
        <v>0</v>
      </c>
      <c r="V167" s="206">
        <f t="shared" si="45"/>
        <v>0</v>
      </c>
      <c r="W167" s="206">
        <f t="shared" si="45"/>
        <v>0</v>
      </c>
      <c r="X167" s="206">
        <f t="shared" si="45"/>
        <v>0</v>
      </c>
      <c r="Y167" s="206">
        <f t="shared" si="45"/>
        <v>0</v>
      </c>
      <c r="Z167" s="206">
        <f t="shared" si="45"/>
        <v>0</v>
      </c>
      <c r="AA167" s="206">
        <f t="shared" si="45"/>
        <v>0</v>
      </c>
      <c r="AB167" s="206">
        <f t="shared" si="45"/>
        <v>0</v>
      </c>
      <c r="AC167" s="206">
        <f t="shared" si="45"/>
        <v>0</v>
      </c>
      <c r="AD167" s="206">
        <f t="shared" si="45"/>
        <v>0</v>
      </c>
      <c r="AE167" s="206">
        <f t="shared" si="45"/>
        <v>0</v>
      </c>
      <c r="AF167" s="206">
        <f t="shared" si="45"/>
        <v>4.1866481284681453E-3</v>
      </c>
    </row>
    <row r="168" spans="2:32" x14ac:dyDescent="0.2">
      <c r="B168" s="205"/>
      <c r="C168" s="205"/>
      <c r="D168" s="205"/>
      <c r="E168" s="205"/>
      <c r="F168" s="205" t="s">
        <v>710</v>
      </c>
      <c r="G168" s="645">
        <v>1.12742552011905</v>
      </c>
      <c r="H168" s="645">
        <v>1.20581856694904</v>
      </c>
      <c r="I168" s="645">
        <v>1.1524772106293999</v>
      </c>
      <c r="J168" s="645"/>
      <c r="K168" s="645"/>
      <c r="L168" s="645"/>
      <c r="M168" s="645"/>
      <c r="N168" s="645"/>
      <c r="O168" s="645"/>
      <c r="P168" s="645"/>
      <c r="Q168" s="645"/>
      <c r="R168" s="645"/>
      <c r="S168" s="645"/>
      <c r="T168" s="645"/>
      <c r="U168" s="645"/>
      <c r="V168" s="645"/>
      <c r="W168" s="645"/>
      <c r="X168" s="645"/>
      <c r="Y168" s="645"/>
      <c r="Z168" s="645"/>
      <c r="AA168" s="645"/>
      <c r="AB168" s="645"/>
      <c r="AC168" s="645"/>
      <c r="AD168" s="645"/>
      <c r="AE168" s="645"/>
      <c r="AF168" s="270"/>
    </row>
    <row r="169" spans="2:32" x14ac:dyDescent="0.2">
      <c r="B169" s="205"/>
      <c r="C169" s="205"/>
      <c r="D169" s="205"/>
      <c r="E169" s="205"/>
      <c r="F169" s="205" t="s">
        <v>702</v>
      </c>
      <c r="G169" s="645">
        <v>0.91739371480260301</v>
      </c>
      <c r="H169" s="645">
        <v>0.84599663215660603</v>
      </c>
      <c r="I169" s="645">
        <v>1.1684358149769101</v>
      </c>
      <c r="J169" s="645"/>
      <c r="K169" s="645"/>
      <c r="L169" s="645"/>
      <c r="M169" s="645"/>
      <c r="N169" s="645"/>
      <c r="O169" s="645"/>
      <c r="P169" s="645"/>
      <c r="Q169" s="645"/>
      <c r="R169" s="645"/>
      <c r="S169" s="645"/>
      <c r="T169" s="645"/>
      <c r="U169" s="645"/>
      <c r="V169" s="645"/>
      <c r="W169" s="645"/>
      <c r="X169" s="645"/>
      <c r="Y169" s="645"/>
      <c r="Z169" s="645"/>
      <c r="AA169" s="645"/>
      <c r="AB169" s="645"/>
      <c r="AC169" s="645"/>
      <c r="AD169" s="645"/>
      <c r="AE169" s="645"/>
      <c r="AF169" s="270"/>
    </row>
    <row r="170" spans="2:32" x14ac:dyDescent="0.2">
      <c r="B170" s="205"/>
      <c r="C170" s="205"/>
      <c r="D170" s="205"/>
      <c r="E170" s="205"/>
      <c r="F170" s="205" t="s">
        <v>711</v>
      </c>
      <c r="G170" s="645">
        <v>9.9844627801003902</v>
      </c>
      <c r="H170" s="645">
        <v>2.4215109802174699</v>
      </c>
      <c r="I170" s="645">
        <v>12.595026239682101</v>
      </c>
      <c r="J170" s="645"/>
      <c r="K170" s="645"/>
      <c r="L170" s="645"/>
      <c r="M170" s="645"/>
      <c r="N170" s="645"/>
      <c r="O170" s="645"/>
      <c r="P170" s="645"/>
      <c r="Q170" s="645"/>
      <c r="R170" s="645"/>
      <c r="S170" s="645"/>
      <c r="T170" s="645"/>
      <c r="U170" s="645"/>
      <c r="V170" s="645"/>
      <c r="W170" s="645"/>
      <c r="X170" s="645"/>
      <c r="Y170" s="645"/>
      <c r="Z170" s="645"/>
      <c r="AA170" s="645"/>
      <c r="AB170" s="645"/>
      <c r="AC170" s="645"/>
      <c r="AD170" s="645"/>
      <c r="AE170" s="645"/>
      <c r="AF170" s="270"/>
    </row>
    <row r="172" spans="2:32" x14ac:dyDescent="0.2">
      <c r="B172" s="803" t="s">
        <v>629</v>
      </c>
      <c r="C172" s="804"/>
      <c r="D172" s="800"/>
      <c r="E172" s="801"/>
      <c r="F172" s="802"/>
      <c r="G172" s="196" t="s">
        <v>630</v>
      </c>
      <c r="H172" s="196" t="s">
        <v>630</v>
      </c>
      <c r="I172" s="196" t="s">
        <v>630</v>
      </c>
      <c r="J172" s="196" t="s">
        <v>630</v>
      </c>
      <c r="K172" s="196" t="s">
        <v>630</v>
      </c>
      <c r="L172" s="196" t="s">
        <v>630</v>
      </c>
      <c r="M172" s="196" t="s">
        <v>630</v>
      </c>
      <c r="N172" s="196" t="s">
        <v>630</v>
      </c>
      <c r="O172" s="196" t="s">
        <v>630</v>
      </c>
      <c r="P172" s="196" t="s">
        <v>630</v>
      </c>
      <c r="Q172" s="196" t="s">
        <v>630</v>
      </c>
      <c r="R172" s="196" t="s">
        <v>630</v>
      </c>
      <c r="S172" s="196" t="s">
        <v>630</v>
      </c>
      <c r="T172" s="196" t="s">
        <v>630</v>
      </c>
      <c r="U172" s="196" t="s">
        <v>630</v>
      </c>
      <c r="V172" s="196" t="s">
        <v>630</v>
      </c>
      <c r="W172" s="196" t="s">
        <v>630</v>
      </c>
      <c r="X172" s="196" t="s">
        <v>630</v>
      </c>
      <c r="Y172" s="196" t="s">
        <v>630</v>
      </c>
      <c r="Z172" s="196" t="s">
        <v>630</v>
      </c>
      <c r="AA172" s="196" t="s">
        <v>630</v>
      </c>
      <c r="AB172" s="196" t="s">
        <v>630</v>
      </c>
      <c r="AC172" s="196" t="s">
        <v>630</v>
      </c>
      <c r="AD172" s="196" t="s">
        <v>630</v>
      </c>
      <c r="AE172" s="196" t="s">
        <v>630</v>
      </c>
      <c r="AF172" s="197"/>
    </row>
    <row r="173" spans="2:32" x14ac:dyDescent="0.2">
      <c r="B173" s="803" t="s">
        <v>20</v>
      </c>
      <c r="C173" s="804"/>
      <c r="D173" s="390"/>
      <c r="E173" s="391"/>
      <c r="F173" s="392"/>
      <c r="G173" s="196">
        <v>1</v>
      </c>
      <c r="H173" s="196">
        <v>2</v>
      </c>
      <c r="I173" s="196">
        <v>3</v>
      </c>
      <c r="J173" s="196">
        <v>4</v>
      </c>
      <c r="K173" s="196">
        <v>5</v>
      </c>
      <c r="L173" s="196">
        <v>6</v>
      </c>
      <c r="M173" s="196">
        <v>7</v>
      </c>
      <c r="N173" s="196">
        <v>8</v>
      </c>
      <c r="O173" s="196">
        <v>9</v>
      </c>
      <c r="P173" s="196">
        <v>10</v>
      </c>
      <c r="Q173" s="196">
        <v>11</v>
      </c>
      <c r="R173" s="196">
        <v>12</v>
      </c>
      <c r="S173" s="196">
        <v>13</v>
      </c>
      <c r="T173" s="196">
        <v>14</v>
      </c>
      <c r="U173" s="196">
        <v>15</v>
      </c>
      <c r="V173" s="196">
        <v>16</v>
      </c>
      <c r="W173" s="196">
        <v>17</v>
      </c>
      <c r="X173" s="196">
        <v>18</v>
      </c>
      <c r="Y173" s="196">
        <v>19</v>
      </c>
      <c r="Z173" s="196">
        <v>20</v>
      </c>
      <c r="AA173" s="196">
        <v>21</v>
      </c>
      <c r="AB173" s="196">
        <v>22</v>
      </c>
      <c r="AC173" s="196">
        <v>23</v>
      </c>
      <c r="AD173" s="196">
        <v>24</v>
      </c>
      <c r="AE173" s="196">
        <v>25</v>
      </c>
      <c r="AF173" s="197" t="s">
        <v>620</v>
      </c>
    </row>
    <row r="174" spans="2:32" x14ac:dyDescent="0.2">
      <c r="B174" s="803"/>
      <c r="C174" s="804"/>
      <c r="D174" s="800" t="s">
        <v>48</v>
      </c>
      <c r="E174" s="801"/>
      <c r="F174" s="802"/>
      <c r="G174" s="196" t="s">
        <v>379</v>
      </c>
      <c r="H174" s="196" t="s">
        <v>380</v>
      </c>
      <c r="I174" s="196" t="s">
        <v>381</v>
      </c>
      <c r="J174" s="196" t="s">
        <v>382</v>
      </c>
      <c r="K174" s="196" t="s">
        <v>383</v>
      </c>
      <c r="L174" s="196" t="s">
        <v>384</v>
      </c>
      <c r="M174" s="196" t="s">
        <v>385</v>
      </c>
      <c r="N174" s="196" t="s">
        <v>650</v>
      </c>
      <c r="O174" s="196" t="s">
        <v>651</v>
      </c>
      <c r="P174" s="196" t="s">
        <v>652</v>
      </c>
      <c r="Q174" s="196" t="s">
        <v>653</v>
      </c>
      <c r="R174" s="196" t="s">
        <v>654</v>
      </c>
      <c r="S174" s="196" t="s">
        <v>655</v>
      </c>
      <c r="T174" s="196"/>
      <c r="U174" s="196"/>
      <c r="V174" s="196"/>
      <c r="W174" s="196"/>
      <c r="X174" s="196"/>
      <c r="Y174" s="196"/>
      <c r="Z174" s="196"/>
      <c r="AA174" s="196"/>
      <c r="AB174" s="196"/>
      <c r="AC174" s="196"/>
      <c r="AD174" s="196"/>
      <c r="AE174" s="196"/>
      <c r="AF174" s="197"/>
    </row>
    <row r="175" spans="2:32" x14ac:dyDescent="0.2">
      <c r="B175" s="803" t="s">
        <v>47</v>
      </c>
      <c r="C175" s="804"/>
      <c r="D175" s="390"/>
      <c r="E175" s="391" t="s">
        <v>360</v>
      </c>
      <c r="F175" s="392"/>
      <c r="G175" s="198" t="s">
        <v>343</v>
      </c>
      <c r="H175" s="198" t="s">
        <v>343</v>
      </c>
      <c r="I175" s="198" t="s">
        <v>343</v>
      </c>
      <c r="J175" s="198" t="s">
        <v>343</v>
      </c>
      <c r="K175" s="198" t="s">
        <v>343</v>
      </c>
      <c r="L175" s="198" t="s">
        <v>343</v>
      </c>
      <c r="M175" s="198" t="s">
        <v>343</v>
      </c>
      <c r="N175" s="198" t="s">
        <v>343</v>
      </c>
      <c r="O175" s="198" t="s">
        <v>343</v>
      </c>
      <c r="P175" s="198" t="s">
        <v>343</v>
      </c>
      <c r="Q175" s="198" t="s">
        <v>343</v>
      </c>
      <c r="R175" s="198" t="s">
        <v>343</v>
      </c>
      <c r="S175" s="198" t="s">
        <v>343</v>
      </c>
      <c r="T175" s="198" t="s">
        <v>343</v>
      </c>
      <c r="U175" s="198" t="s">
        <v>343</v>
      </c>
      <c r="V175" s="198" t="s">
        <v>343</v>
      </c>
      <c r="W175" s="198" t="s">
        <v>343</v>
      </c>
      <c r="X175" s="198" t="s">
        <v>343</v>
      </c>
      <c r="Y175" s="198" t="s">
        <v>343</v>
      </c>
      <c r="Z175" s="198" t="s">
        <v>343</v>
      </c>
      <c r="AA175" s="198" t="s">
        <v>343</v>
      </c>
      <c r="AB175" s="198" t="s">
        <v>343</v>
      </c>
      <c r="AC175" s="198" t="s">
        <v>343</v>
      </c>
      <c r="AD175" s="198" t="s">
        <v>343</v>
      </c>
      <c r="AE175" s="198" t="s">
        <v>343</v>
      </c>
      <c r="AF175" s="199" t="s">
        <v>343</v>
      </c>
    </row>
    <row r="176" spans="2:32" x14ac:dyDescent="0.2">
      <c r="B176" s="200">
        <f>'DADOS-Campanha'!$J$23</f>
        <v>0.75</v>
      </c>
      <c r="C176" s="200">
        <f>B176+$C$1</f>
        <v>0.79166666666666663</v>
      </c>
      <c r="D176" s="271">
        <f t="shared" ref="D176:D199" si="46">HOUR(B176)+HOUR($C$1)</f>
        <v>19</v>
      </c>
      <c r="E176" s="202" t="s">
        <v>339</v>
      </c>
      <c r="F176" s="203" t="s">
        <v>356</v>
      </c>
      <c r="G176" s="644">
        <v>4.5966492526016198</v>
      </c>
      <c r="H176" s="644">
        <v>0.84561488247460803</v>
      </c>
      <c r="I176" s="644">
        <v>1.8992399080315601</v>
      </c>
      <c r="J176" s="644">
        <v>2.24945710977804</v>
      </c>
      <c r="K176" s="644">
        <v>3.3915090699952399</v>
      </c>
      <c r="L176" s="644">
        <v>0.56895751380075699</v>
      </c>
      <c r="M176" s="644">
        <v>0.88323511344848304</v>
      </c>
      <c r="N176" s="644">
        <v>0.45570898344641397</v>
      </c>
      <c r="O176" s="644">
        <v>0.32591272262933602</v>
      </c>
      <c r="P176" s="644">
        <v>0.32229290659061299</v>
      </c>
      <c r="Q176" s="644">
        <v>0.23528804251701399</v>
      </c>
      <c r="R176" s="644">
        <v>0.245759653200463</v>
      </c>
      <c r="S176" s="644">
        <v>0.17969801049376299</v>
      </c>
      <c r="T176" s="644"/>
      <c r="U176" s="644"/>
      <c r="V176" s="644"/>
      <c r="W176" s="644"/>
      <c r="X176" s="644"/>
      <c r="Y176" s="644"/>
      <c r="Z176" s="644"/>
      <c r="AA176" s="644"/>
      <c r="AB176" s="644"/>
      <c r="AC176" s="644"/>
      <c r="AD176" s="644"/>
      <c r="AE176" s="644"/>
      <c r="AF176" s="204">
        <f t="shared" ref="AF176:AF185" si="47">SUM(G176:AE176)</f>
        <v>16.199323169007915</v>
      </c>
    </row>
    <row r="177" spans="2:32" x14ac:dyDescent="0.2">
      <c r="B177" s="200">
        <f>C176</f>
        <v>0.79166666666666663</v>
      </c>
      <c r="C177" s="200">
        <f>B177+$C$1</f>
        <v>0.83333333333333326</v>
      </c>
      <c r="D177" s="271">
        <f t="shared" si="46"/>
        <v>20</v>
      </c>
      <c r="E177" s="202" t="s">
        <v>339</v>
      </c>
      <c r="F177" s="203" t="s">
        <v>356</v>
      </c>
      <c r="G177" s="644">
        <v>5.2536458636298899</v>
      </c>
      <c r="H177" s="644">
        <v>0.40593651291396898</v>
      </c>
      <c r="I177" s="644">
        <v>1.88062371126099</v>
      </c>
      <c r="J177" s="644">
        <v>2.44893482934055</v>
      </c>
      <c r="K177" s="644">
        <v>2.82345651020416</v>
      </c>
      <c r="L177" s="644">
        <v>0.63320924848809501</v>
      </c>
      <c r="M177" s="644">
        <v>1.20100324999069</v>
      </c>
      <c r="N177" s="644">
        <v>0.53082016624992201</v>
      </c>
      <c r="O177" s="644">
        <v>0.34685594399623498</v>
      </c>
      <c r="P177" s="644">
        <v>0.364696465901371</v>
      </c>
      <c r="Q177" s="644">
        <v>0.30574517612787799</v>
      </c>
      <c r="R177" s="644">
        <v>0.19172097090809401</v>
      </c>
      <c r="S177" s="644">
        <v>0.16237460516558799</v>
      </c>
      <c r="T177" s="644"/>
      <c r="U177" s="644"/>
      <c r="V177" s="644"/>
      <c r="W177" s="644"/>
      <c r="X177" s="644"/>
      <c r="Y177" s="644"/>
      <c r="Z177" s="644"/>
      <c r="AA177" s="644"/>
      <c r="AB177" s="644"/>
      <c r="AC177" s="644"/>
      <c r="AD177" s="644"/>
      <c r="AE177" s="644"/>
      <c r="AF177" s="204">
        <f t="shared" si="47"/>
        <v>16.549023254177431</v>
      </c>
    </row>
    <row r="178" spans="2:32" x14ac:dyDescent="0.2">
      <c r="B178" s="200">
        <f t="shared" ref="B178:B199" si="48">C177</f>
        <v>0.83333333333333326</v>
      </c>
      <c r="C178" s="200">
        <f t="shared" ref="C178:C199" si="49">B178+$C$1</f>
        <v>0.87499999999999989</v>
      </c>
      <c r="D178" s="271">
        <f t="shared" si="46"/>
        <v>21</v>
      </c>
      <c r="E178" s="202" t="s">
        <v>339</v>
      </c>
      <c r="F178" s="203" t="s">
        <v>356</v>
      </c>
      <c r="G178" s="644">
        <v>4.71351759899468</v>
      </c>
      <c r="H178" s="644">
        <v>0.24162272058477999</v>
      </c>
      <c r="I178" s="644">
        <v>2.05127218165795</v>
      </c>
      <c r="J178" s="644">
        <v>2.83599658719546</v>
      </c>
      <c r="K178" s="644">
        <v>3.3933189780145998</v>
      </c>
      <c r="L178" s="644">
        <v>0.62842592015121101</v>
      </c>
      <c r="M178" s="644">
        <v>1.4326714764689801</v>
      </c>
      <c r="N178" s="644">
        <v>0.49966389248805398</v>
      </c>
      <c r="O178" s="644">
        <v>0.30005689378131301</v>
      </c>
      <c r="P178" s="644">
        <v>0.33379875042798302</v>
      </c>
      <c r="Q178" s="644">
        <v>0.32591272262933602</v>
      </c>
      <c r="R178" s="644">
        <v>0.19275520406201499</v>
      </c>
      <c r="S178" s="644">
        <v>0.17620747359927999</v>
      </c>
      <c r="T178" s="644"/>
      <c r="U178" s="644"/>
      <c r="V178" s="644"/>
      <c r="W178" s="644"/>
      <c r="X178" s="644"/>
      <c r="Y178" s="644"/>
      <c r="Z178" s="644"/>
      <c r="AA178" s="644"/>
      <c r="AB178" s="644"/>
      <c r="AC178" s="644"/>
      <c r="AD178" s="644"/>
      <c r="AE178" s="644"/>
      <c r="AF178" s="204">
        <f t="shared" si="47"/>
        <v>17.125220400055643</v>
      </c>
    </row>
    <row r="179" spans="2:32" x14ac:dyDescent="0.2">
      <c r="B179" s="200">
        <f t="shared" si="48"/>
        <v>0.87499999999999989</v>
      </c>
      <c r="C179" s="200">
        <f t="shared" si="49"/>
        <v>0.91666666666666652</v>
      </c>
      <c r="D179" s="271">
        <f t="shared" si="46"/>
        <v>22</v>
      </c>
      <c r="E179" s="202" t="s">
        <v>361</v>
      </c>
      <c r="F179" s="203" t="s">
        <v>358</v>
      </c>
      <c r="G179" s="644">
        <v>2.9482108843958801</v>
      </c>
      <c r="H179" s="644">
        <v>0.218998870342759</v>
      </c>
      <c r="I179" s="644">
        <v>1.4192264454680099</v>
      </c>
      <c r="J179" s="644">
        <v>2.12702976018265</v>
      </c>
      <c r="K179" s="644">
        <v>2.5311563650772602</v>
      </c>
      <c r="L179" s="644">
        <v>0.39688697281716101</v>
      </c>
      <c r="M179" s="644">
        <v>1.9144948470519001</v>
      </c>
      <c r="N179" s="644">
        <v>0.60864621108247297</v>
      </c>
      <c r="O179" s="644">
        <v>0.26696143285584301</v>
      </c>
      <c r="P179" s="644">
        <v>0.39908471826924302</v>
      </c>
      <c r="Q179" s="644">
        <v>0.32746407236021802</v>
      </c>
      <c r="R179" s="644">
        <v>0.17788810247440101</v>
      </c>
      <c r="S179" s="644">
        <v>0.15229083191485801</v>
      </c>
      <c r="T179" s="644"/>
      <c r="U179" s="644"/>
      <c r="V179" s="644"/>
      <c r="W179" s="644"/>
      <c r="X179" s="644"/>
      <c r="Y179" s="644"/>
      <c r="Z179" s="644"/>
      <c r="AA179" s="644"/>
      <c r="AB179" s="644"/>
      <c r="AC179" s="644"/>
      <c r="AD179" s="644"/>
      <c r="AE179" s="644"/>
      <c r="AF179" s="204">
        <f t="shared" si="47"/>
        <v>13.488339514292658</v>
      </c>
    </row>
    <row r="180" spans="2:32" x14ac:dyDescent="0.2">
      <c r="B180" s="200">
        <f t="shared" si="48"/>
        <v>0.91666666666666652</v>
      </c>
      <c r="C180" s="200">
        <f t="shared" si="49"/>
        <v>0.95833333333333315</v>
      </c>
      <c r="D180" s="271">
        <f t="shared" si="46"/>
        <v>23</v>
      </c>
      <c r="E180" s="202" t="s">
        <v>340</v>
      </c>
      <c r="F180" s="203" t="s">
        <v>358</v>
      </c>
      <c r="G180" s="644">
        <v>1.6889027403529</v>
      </c>
      <c r="H180" s="644">
        <v>0.21240563398651299</v>
      </c>
      <c r="I180" s="644">
        <v>1.26085949377387</v>
      </c>
      <c r="J180" s="644">
        <v>1.7342797199811799</v>
      </c>
      <c r="K180" s="644">
        <v>1.6377081992338101</v>
      </c>
      <c r="L180" s="644">
        <v>0.50754992028670098</v>
      </c>
      <c r="M180" s="644">
        <v>2.5376203222892699</v>
      </c>
      <c r="N180" s="644">
        <v>0.28687042106882099</v>
      </c>
      <c r="O180" s="644">
        <v>0.33974559106302898</v>
      </c>
      <c r="P180" s="644">
        <v>0.289973120530583</v>
      </c>
      <c r="Q180" s="644">
        <v>0.294627169723228</v>
      </c>
      <c r="R180" s="644">
        <v>0.15384218164574001</v>
      </c>
      <c r="S180" s="644">
        <v>0.144534083260451</v>
      </c>
      <c r="T180" s="644"/>
      <c r="U180" s="644"/>
      <c r="V180" s="644"/>
      <c r="W180" s="644"/>
      <c r="X180" s="644"/>
      <c r="Y180" s="644"/>
      <c r="Z180" s="644"/>
      <c r="AA180" s="644"/>
      <c r="AB180" s="644"/>
      <c r="AC180" s="644"/>
      <c r="AD180" s="644"/>
      <c r="AE180" s="644"/>
      <c r="AF180" s="204">
        <f t="shared" si="47"/>
        <v>11.088918597196093</v>
      </c>
    </row>
    <row r="181" spans="2:32" x14ac:dyDescent="0.2">
      <c r="B181" s="200">
        <f t="shared" si="48"/>
        <v>0.95833333333333315</v>
      </c>
      <c r="C181" s="200">
        <f t="shared" si="49"/>
        <v>0.99999999999999978</v>
      </c>
      <c r="D181" s="271">
        <f t="shared" si="46"/>
        <v>24</v>
      </c>
      <c r="E181" s="202" t="s">
        <v>340</v>
      </c>
      <c r="F181" s="203" t="s">
        <v>358</v>
      </c>
      <c r="G181" s="644">
        <v>1.3653170423198799</v>
      </c>
      <c r="H181" s="644">
        <v>0.239424975132698</v>
      </c>
      <c r="I181" s="644">
        <v>1.10559524154148</v>
      </c>
      <c r="J181" s="644">
        <v>1.14101772706328</v>
      </c>
      <c r="K181" s="644">
        <v>1.15329924576609</v>
      </c>
      <c r="L181" s="644">
        <v>0.52694179192271995</v>
      </c>
      <c r="M181" s="644">
        <v>1.7846985862348199</v>
      </c>
      <c r="N181" s="644">
        <v>0.18667908428273</v>
      </c>
      <c r="O181" s="644">
        <v>0.30005689378131301</v>
      </c>
      <c r="P181" s="644">
        <v>0.23606371738245399</v>
      </c>
      <c r="Q181" s="644">
        <v>0.29333437828082598</v>
      </c>
      <c r="R181" s="644">
        <v>0.12889130680739699</v>
      </c>
      <c r="S181" s="644">
        <v>0.14466336240469099</v>
      </c>
      <c r="T181" s="644"/>
      <c r="U181" s="644"/>
      <c r="V181" s="644"/>
      <c r="W181" s="644"/>
      <c r="X181" s="644"/>
      <c r="Y181" s="644"/>
      <c r="Z181" s="644"/>
      <c r="AA181" s="644"/>
      <c r="AB181" s="644"/>
      <c r="AC181" s="644"/>
      <c r="AD181" s="644"/>
      <c r="AE181" s="644"/>
      <c r="AF181" s="204">
        <f t="shared" si="47"/>
        <v>8.6059833529203775</v>
      </c>
    </row>
    <row r="182" spans="2:32" x14ac:dyDescent="0.2">
      <c r="B182" s="200">
        <f t="shared" si="48"/>
        <v>0.99999999999999978</v>
      </c>
      <c r="C182" s="200">
        <f t="shared" si="49"/>
        <v>1.0416666666666665</v>
      </c>
      <c r="D182" s="271">
        <f t="shared" si="46"/>
        <v>1</v>
      </c>
      <c r="E182" s="202" t="s">
        <v>340</v>
      </c>
      <c r="F182" s="203" t="s">
        <v>358</v>
      </c>
      <c r="G182" s="644">
        <v>1.23771852695488</v>
      </c>
      <c r="H182" s="644">
        <v>0.26515152483648102</v>
      </c>
      <c r="I182" s="644">
        <v>0.71530150508057</v>
      </c>
      <c r="J182" s="644">
        <v>0.68091325271269898</v>
      </c>
      <c r="K182" s="644">
        <v>0.84884686108061103</v>
      </c>
      <c r="L182" s="644">
        <v>0.23347813449765201</v>
      </c>
      <c r="M182" s="644">
        <v>0.48583102405436202</v>
      </c>
      <c r="N182" s="644">
        <v>0.35952530013176698</v>
      </c>
      <c r="O182" s="644">
        <v>0.41485677386653702</v>
      </c>
      <c r="P182" s="644">
        <v>0.213439867140434</v>
      </c>
      <c r="Q182" s="644">
        <v>0.32707623492749699</v>
      </c>
      <c r="R182" s="644">
        <v>0.14078498807748799</v>
      </c>
      <c r="S182" s="644">
        <v>0.12022960414330899</v>
      </c>
      <c r="T182" s="644"/>
      <c r="U182" s="644"/>
      <c r="V182" s="644"/>
      <c r="W182" s="644"/>
      <c r="X182" s="644"/>
      <c r="Y182" s="644"/>
      <c r="Z182" s="644"/>
      <c r="AA182" s="644"/>
      <c r="AB182" s="644"/>
      <c r="AC182" s="644"/>
      <c r="AD182" s="644"/>
      <c r="AE182" s="644"/>
      <c r="AF182" s="204">
        <f t="shared" si="47"/>
        <v>6.043153597504288</v>
      </c>
    </row>
    <row r="183" spans="2:32" x14ac:dyDescent="0.2">
      <c r="B183" s="200">
        <f t="shared" si="48"/>
        <v>1.0416666666666665</v>
      </c>
      <c r="C183" s="200">
        <f t="shared" si="49"/>
        <v>1.0833333333333333</v>
      </c>
      <c r="D183" s="271">
        <f t="shared" si="46"/>
        <v>2</v>
      </c>
      <c r="E183" s="202" t="s">
        <v>340</v>
      </c>
      <c r="F183" s="203" t="s">
        <v>358</v>
      </c>
      <c r="G183" s="644">
        <v>1.0509101635279099</v>
      </c>
      <c r="H183" s="644">
        <v>0.239812812565418</v>
      </c>
      <c r="I183" s="644">
        <v>0.64083671799826303</v>
      </c>
      <c r="J183" s="644">
        <v>0.62015205491984404</v>
      </c>
      <c r="K183" s="644">
        <v>0.658547960759158</v>
      </c>
      <c r="L183" s="644">
        <v>0.18176647680160499</v>
      </c>
      <c r="M183" s="644">
        <v>0.37827077604658399</v>
      </c>
      <c r="N183" s="644">
        <v>0.18758403829241099</v>
      </c>
      <c r="O183" s="644">
        <v>0.33845279962062802</v>
      </c>
      <c r="P183" s="644">
        <v>0.20736374736114799</v>
      </c>
      <c r="Q183" s="644">
        <v>0.31453615793620598</v>
      </c>
      <c r="R183" s="644">
        <v>0.12850346937467699</v>
      </c>
      <c r="S183" s="644">
        <v>0.14957596988581601</v>
      </c>
      <c r="T183" s="644"/>
      <c r="U183" s="644"/>
      <c r="V183" s="644"/>
      <c r="W183" s="644"/>
      <c r="X183" s="644"/>
      <c r="Y183" s="644"/>
      <c r="Z183" s="644"/>
      <c r="AA183" s="644"/>
      <c r="AB183" s="644"/>
      <c r="AC183" s="644"/>
      <c r="AD183" s="644"/>
      <c r="AE183" s="644"/>
      <c r="AF183" s="204">
        <f t="shared" si="47"/>
        <v>5.0963131450896677</v>
      </c>
    </row>
    <row r="184" spans="2:32" x14ac:dyDescent="0.2">
      <c r="B184" s="200">
        <f t="shared" si="48"/>
        <v>1.0833333333333333</v>
      </c>
      <c r="C184" s="200">
        <f t="shared" si="49"/>
        <v>1.125</v>
      </c>
      <c r="D184" s="271">
        <f t="shared" si="46"/>
        <v>3</v>
      </c>
      <c r="E184" s="202" t="s">
        <v>340</v>
      </c>
      <c r="F184" s="203" t="s">
        <v>358</v>
      </c>
      <c r="G184" s="644">
        <v>0.96610304490639598</v>
      </c>
      <c r="H184" s="644">
        <v>0.137811567759965</v>
      </c>
      <c r="I184" s="644">
        <v>0.62092772978528399</v>
      </c>
      <c r="J184" s="644">
        <v>0.58705659399437404</v>
      </c>
      <c r="K184" s="644">
        <v>0.59442550521605997</v>
      </c>
      <c r="L184" s="644">
        <v>0.57180165497403901</v>
      </c>
      <c r="M184" s="644">
        <v>0.35357845949672101</v>
      </c>
      <c r="N184" s="644">
        <v>0.19210880834081501</v>
      </c>
      <c r="O184" s="644">
        <v>0.27239115691392801</v>
      </c>
      <c r="P184" s="644">
        <v>0.17569035702232</v>
      </c>
      <c r="Q184" s="644">
        <v>0.30315959324307601</v>
      </c>
      <c r="R184" s="644">
        <v>0.10587961913265601</v>
      </c>
      <c r="S184" s="644">
        <v>0.134708868298202</v>
      </c>
      <c r="T184" s="644"/>
      <c r="U184" s="644"/>
      <c r="V184" s="644"/>
      <c r="W184" s="644"/>
      <c r="X184" s="644"/>
      <c r="Y184" s="644"/>
      <c r="Z184" s="644"/>
      <c r="AA184" s="644"/>
      <c r="AB184" s="644"/>
      <c r="AC184" s="644"/>
      <c r="AD184" s="644"/>
      <c r="AE184" s="644"/>
      <c r="AF184" s="204">
        <f t="shared" si="47"/>
        <v>5.0156429590838361</v>
      </c>
    </row>
    <row r="185" spans="2:32" x14ac:dyDescent="0.2">
      <c r="B185" s="200">
        <f t="shared" si="48"/>
        <v>1.125</v>
      </c>
      <c r="C185" s="200">
        <f t="shared" si="49"/>
        <v>1.1666666666666667</v>
      </c>
      <c r="D185" s="271">
        <f t="shared" si="46"/>
        <v>4</v>
      </c>
      <c r="E185" s="202" t="s">
        <v>340</v>
      </c>
      <c r="F185" s="203" t="s">
        <v>358</v>
      </c>
      <c r="G185" s="644">
        <v>0.90017068134393796</v>
      </c>
      <c r="H185" s="644">
        <v>0.15073948218397701</v>
      </c>
      <c r="I185" s="644">
        <v>0.61562728487143903</v>
      </c>
      <c r="J185" s="644">
        <v>0.52513188390335697</v>
      </c>
      <c r="K185" s="644">
        <v>0.58356605709988996</v>
      </c>
      <c r="L185" s="644">
        <v>0.46850761872618601</v>
      </c>
      <c r="M185" s="644">
        <v>0.32410281460997498</v>
      </c>
      <c r="N185" s="644">
        <v>0.17698314846472099</v>
      </c>
      <c r="O185" s="644">
        <v>0.25106009811430802</v>
      </c>
      <c r="P185" s="644">
        <v>0.199736277850981</v>
      </c>
      <c r="Q185" s="644">
        <v>0.29281726170386602</v>
      </c>
      <c r="R185" s="644">
        <v>0.108077364584738</v>
      </c>
      <c r="S185" s="644">
        <v>0.13755300947148499</v>
      </c>
      <c r="T185" s="644"/>
      <c r="U185" s="644"/>
      <c r="V185" s="644"/>
      <c r="W185" s="644"/>
      <c r="X185" s="644"/>
      <c r="Y185" s="644"/>
      <c r="Z185" s="644"/>
      <c r="AA185" s="644"/>
      <c r="AB185" s="644"/>
      <c r="AC185" s="644"/>
      <c r="AD185" s="644"/>
      <c r="AE185" s="644"/>
      <c r="AF185" s="204">
        <f t="shared" si="47"/>
        <v>4.7340729829288613</v>
      </c>
    </row>
    <row r="186" spans="2:32" x14ac:dyDescent="0.2">
      <c r="B186" s="200">
        <f t="shared" si="48"/>
        <v>1.1666666666666667</v>
      </c>
      <c r="C186" s="200">
        <f t="shared" si="49"/>
        <v>1.2083333333333335</v>
      </c>
      <c r="D186" s="271">
        <f t="shared" si="46"/>
        <v>5</v>
      </c>
      <c r="E186" s="202" t="s">
        <v>340</v>
      </c>
      <c r="F186" s="203" t="s">
        <v>358</v>
      </c>
      <c r="G186" s="644">
        <v>0.83669462152203999</v>
      </c>
      <c r="H186" s="644">
        <v>0.13807012604844601</v>
      </c>
      <c r="I186" s="644">
        <v>0.69616819173303301</v>
      </c>
      <c r="J186" s="644">
        <v>0.53754268175040898</v>
      </c>
      <c r="K186" s="644">
        <v>0.52358053417247596</v>
      </c>
      <c r="L186" s="644">
        <v>0.44135899843576099</v>
      </c>
      <c r="M186" s="644">
        <v>0.333152354706783</v>
      </c>
      <c r="N186" s="644">
        <v>0.202838977312745</v>
      </c>
      <c r="O186" s="644">
        <v>0.20064123186066199</v>
      </c>
      <c r="P186" s="644">
        <v>0.17194126183935601</v>
      </c>
      <c r="Q186" s="644">
        <v>0.26411729168255998</v>
      </c>
      <c r="R186" s="644">
        <v>9.6959358180088301E-2</v>
      </c>
      <c r="S186" s="644">
        <v>0.125659328201394</v>
      </c>
      <c r="T186" s="644"/>
      <c r="U186" s="644"/>
      <c r="V186" s="644"/>
      <c r="W186" s="644"/>
      <c r="X186" s="644"/>
      <c r="Y186" s="644"/>
      <c r="Z186" s="644"/>
      <c r="AA186" s="644"/>
      <c r="AB186" s="644"/>
      <c r="AC186" s="644"/>
      <c r="AD186" s="644"/>
      <c r="AE186" s="644"/>
      <c r="AF186" s="204">
        <f t="shared" ref="AF186:AF199" si="50">SUM(G186:AE186)</f>
        <v>4.5687249574457525</v>
      </c>
    </row>
    <row r="187" spans="2:32" x14ac:dyDescent="0.2">
      <c r="B187" s="200">
        <f t="shared" si="48"/>
        <v>1.2083333333333335</v>
      </c>
      <c r="C187" s="200">
        <f t="shared" si="49"/>
        <v>1.2500000000000002</v>
      </c>
      <c r="D187" s="271">
        <f t="shared" si="46"/>
        <v>6</v>
      </c>
      <c r="E187" s="202" t="s">
        <v>340</v>
      </c>
      <c r="F187" s="203" t="s">
        <v>358</v>
      </c>
      <c r="G187" s="644">
        <v>0.83553110922387896</v>
      </c>
      <c r="H187" s="644">
        <v>0.151256598760938</v>
      </c>
      <c r="I187" s="644">
        <v>0.855569376581096</v>
      </c>
      <c r="J187" s="644">
        <v>0.59998450841838502</v>
      </c>
      <c r="K187" s="644">
        <v>0.60244081215894696</v>
      </c>
      <c r="L187" s="644">
        <v>0.27058124889456597</v>
      </c>
      <c r="M187" s="644">
        <v>0.33974559106302898</v>
      </c>
      <c r="N187" s="644">
        <v>0.222101569804522</v>
      </c>
      <c r="O187" s="644">
        <v>0.37154826054609802</v>
      </c>
      <c r="P187" s="644">
        <v>0.14944669074157599</v>
      </c>
      <c r="Q187" s="644">
        <v>0.29023167881906298</v>
      </c>
      <c r="R187" s="644">
        <v>0.123849420182033</v>
      </c>
      <c r="S187" s="644">
        <v>0.12733995707651599</v>
      </c>
      <c r="T187" s="644"/>
      <c r="U187" s="644"/>
      <c r="V187" s="644"/>
      <c r="W187" s="644"/>
      <c r="X187" s="644"/>
      <c r="Y187" s="644"/>
      <c r="Z187" s="644"/>
      <c r="AA187" s="644"/>
      <c r="AB187" s="644"/>
      <c r="AC187" s="644"/>
      <c r="AD187" s="644"/>
      <c r="AE187" s="644"/>
      <c r="AF187" s="204">
        <f t="shared" si="50"/>
        <v>4.9396268222706476</v>
      </c>
    </row>
    <row r="188" spans="2:32" x14ac:dyDescent="0.2">
      <c r="B188" s="200">
        <f t="shared" si="48"/>
        <v>1.2500000000000002</v>
      </c>
      <c r="C188" s="200">
        <f t="shared" si="49"/>
        <v>1.291666666666667</v>
      </c>
      <c r="D188" s="271">
        <f t="shared" si="46"/>
        <v>7</v>
      </c>
      <c r="E188" s="202" t="s">
        <v>340</v>
      </c>
      <c r="F188" s="203" t="s">
        <v>358</v>
      </c>
      <c r="G188" s="644">
        <v>0.99738859781250699</v>
      </c>
      <c r="H188" s="644">
        <v>0.15784983511718301</v>
      </c>
      <c r="I188" s="644">
        <v>2.2835868038574398</v>
      </c>
      <c r="J188" s="644">
        <v>1.9861154929609199</v>
      </c>
      <c r="K188" s="644">
        <v>0.688540722222866</v>
      </c>
      <c r="L188" s="644">
        <v>0.192625924917775</v>
      </c>
      <c r="M188" s="644">
        <v>0.39895543912500298</v>
      </c>
      <c r="N188" s="644">
        <v>0.47704004224603302</v>
      </c>
      <c r="O188" s="644">
        <v>0.56417418546387299</v>
      </c>
      <c r="P188" s="644">
        <v>0.20374393132242499</v>
      </c>
      <c r="Q188" s="644">
        <v>0.26450512911528001</v>
      </c>
      <c r="R188" s="644">
        <v>0.12553004905715401</v>
      </c>
      <c r="S188" s="644">
        <v>0.14337057096229</v>
      </c>
      <c r="T188" s="644"/>
      <c r="U188" s="644"/>
      <c r="V188" s="644"/>
      <c r="W188" s="644"/>
      <c r="X188" s="644"/>
      <c r="Y188" s="644"/>
      <c r="Z188" s="644"/>
      <c r="AA188" s="644"/>
      <c r="AB188" s="644"/>
      <c r="AC188" s="644"/>
      <c r="AD188" s="644"/>
      <c r="AE188" s="644"/>
      <c r="AF188" s="204">
        <f t="shared" si="50"/>
        <v>8.4834267241807488</v>
      </c>
    </row>
    <row r="189" spans="2:32" x14ac:dyDescent="0.2">
      <c r="B189" s="200">
        <f t="shared" si="48"/>
        <v>1.291666666666667</v>
      </c>
      <c r="C189" s="200">
        <f t="shared" si="49"/>
        <v>1.3333333333333337</v>
      </c>
      <c r="D189" s="271">
        <f t="shared" si="46"/>
        <v>8</v>
      </c>
      <c r="E189" s="202" t="s">
        <v>340</v>
      </c>
      <c r="F189" s="203" t="s">
        <v>358</v>
      </c>
      <c r="G189" s="644">
        <v>1.0847812993188299</v>
      </c>
      <c r="H189" s="644">
        <v>0.304064547252756</v>
      </c>
      <c r="I189" s="644">
        <v>1.37979630647477</v>
      </c>
      <c r="J189" s="644">
        <v>1.8194746760354099</v>
      </c>
      <c r="K189" s="644">
        <v>0.82350814880954804</v>
      </c>
      <c r="L189" s="644">
        <v>0.106396735709617</v>
      </c>
      <c r="M189" s="644">
        <v>0.51414315664294696</v>
      </c>
      <c r="N189" s="644">
        <v>0.29268798255962603</v>
      </c>
      <c r="O189" s="644">
        <v>0.48143553315019699</v>
      </c>
      <c r="P189" s="644">
        <v>0.25739477618207401</v>
      </c>
      <c r="Q189" s="644">
        <v>0.20451960618786599</v>
      </c>
      <c r="R189" s="644">
        <v>0.17426828643567799</v>
      </c>
      <c r="S189" s="644">
        <v>0.134321030865482</v>
      </c>
      <c r="T189" s="644"/>
      <c r="U189" s="644"/>
      <c r="V189" s="644"/>
      <c r="W189" s="644"/>
      <c r="X189" s="644"/>
      <c r="Y189" s="644"/>
      <c r="Z189" s="644"/>
      <c r="AA189" s="644"/>
      <c r="AB189" s="644"/>
      <c r="AC189" s="644"/>
      <c r="AD189" s="644"/>
      <c r="AE189" s="644"/>
      <c r="AF189" s="204">
        <f t="shared" si="50"/>
        <v>7.5767920856248008</v>
      </c>
    </row>
    <row r="190" spans="2:32" x14ac:dyDescent="0.2">
      <c r="B190" s="200">
        <f t="shared" si="48"/>
        <v>1.3333333333333337</v>
      </c>
      <c r="C190" s="200">
        <f t="shared" si="49"/>
        <v>1.3750000000000004</v>
      </c>
      <c r="D190" s="271">
        <f t="shared" si="46"/>
        <v>9</v>
      </c>
      <c r="E190" s="202" t="s">
        <v>340</v>
      </c>
      <c r="F190" s="203" t="s">
        <v>358</v>
      </c>
      <c r="G190" s="644">
        <v>1.2428896927244899</v>
      </c>
      <c r="H190" s="644">
        <v>0.95511431764598698</v>
      </c>
      <c r="I190" s="644">
        <v>0.69578035430031204</v>
      </c>
      <c r="J190" s="644">
        <v>1.4413331791330699</v>
      </c>
      <c r="K190" s="644">
        <v>1.1040438918105999</v>
      </c>
      <c r="L190" s="644">
        <v>0.116221950671866</v>
      </c>
      <c r="M190" s="644">
        <v>0.40710002521213001</v>
      </c>
      <c r="N190" s="644">
        <v>0.22468715268932399</v>
      </c>
      <c r="O190" s="644">
        <v>0.43980764870487898</v>
      </c>
      <c r="P190" s="644">
        <v>0.19314304149473599</v>
      </c>
      <c r="Q190" s="644">
        <v>0.14711966614525401</v>
      </c>
      <c r="R190" s="644">
        <v>0.139880034067807</v>
      </c>
      <c r="S190" s="644">
        <v>0.17607819445504</v>
      </c>
      <c r="T190" s="644"/>
      <c r="U190" s="644"/>
      <c r="V190" s="644"/>
      <c r="W190" s="644"/>
      <c r="X190" s="644"/>
      <c r="Y190" s="644"/>
      <c r="Z190" s="644"/>
      <c r="AA190" s="644"/>
      <c r="AB190" s="644"/>
      <c r="AC190" s="644"/>
      <c r="AD190" s="644"/>
      <c r="AE190" s="644"/>
      <c r="AF190" s="204">
        <f t="shared" si="50"/>
        <v>7.2831991490554939</v>
      </c>
    </row>
    <row r="191" spans="2:32" x14ac:dyDescent="0.2">
      <c r="B191" s="200">
        <f t="shared" si="48"/>
        <v>1.3750000000000004</v>
      </c>
      <c r="C191" s="200">
        <f t="shared" si="49"/>
        <v>1.4166666666666672</v>
      </c>
      <c r="D191" s="271">
        <f t="shared" si="46"/>
        <v>10</v>
      </c>
      <c r="E191" s="202" t="s">
        <v>340</v>
      </c>
      <c r="F191" s="203" t="s">
        <v>358</v>
      </c>
      <c r="G191" s="644">
        <v>1.19738343395197</v>
      </c>
      <c r="H191" s="644">
        <v>1.20048613341373</v>
      </c>
      <c r="I191" s="644">
        <v>0.70832043129160405</v>
      </c>
      <c r="J191" s="644">
        <v>1.2582739108890599</v>
      </c>
      <c r="K191" s="644">
        <v>1.6430086441476499</v>
      </c>
      <c r="L191" s="644">
        <v>0.16237460516558799</v>
      </c>
      <c r="M191" s="644">
        <v>0.46579275669714298</v>
      </c>
      <c r="N191" s="644">
        <v>0.22158445322756101</v>
      </c>
      <c r="O191" s="644">
        <v>0.452218446551931</v>
      </c>
      <c r="P191" s="644">
        <v>0.26528080398072101</v>
      </c>
      <c r="Q191" s="644">
        <v>9.2434588131683995E-2</v>
      </c>
      <c r="R191" s="644">
        <v>0.13522598487516299</v>
      </c>
      <c r="S191" s="644">
        <v>0.138199405192685</v>
      </c>
      <c r="T191" s="644"/>
      <c r="U191" s="644"/>
      <c r="V191" s="644"/>
      <c r="W191" s="644"/>
      <c r="X191" s="644"/>
      <c r="Y191" s="644"/>
      <c r="Z191" s="644"/>
      <c r="AA191" s="644"/>
      <c r="AB191" s="644"/>
      <c r="AC191" s="644"/>
      <c r="AD191" s="644"/>
      <c r="AE191" s="644"/>
      <c r="AF191" s="204">
        <f t="shared" si="50"/>
        <v>7.9405835975164889</v>
      </c>
    </row>
    <row r="192" spans="2:32" x14ac:dyDescent="0.2">
      <c r="B192" s="200">
        <f t="shared" si="48"/>
        <v>1.4166666666666672</v>
      </c>
      <c r="C192" s="200">
        <f t="shared" si="49"/>
        <v>1.4583333333333339</v>
      </c>
      <c r="D192" s="271">
        <f t="shared" si="46"/>
        <v>11</v>
      </c>
      <c r="E192" s="202" t="s">
        <v>340</v>
      </c>
      <c r="F192" s="203" t="s">
        <v>358</v>
      </c>
      <c r="G192" s="644">
        <v>1.2577567943121</v>
      </c>
      <c r="H192" s="644">
        <v>1.1006826340603599</v>
      </c>
      <c r="I192" s="644">
        <v>0.87392701506319403</v>
      </c>
      <c r="J192" s="644">
        <v>0.809804559520096</v>
      </c>
      <c r="K192" s="644">
        <v>2.3267660380336301</v>
      </c>
      <c r="L192" s="644">
        <v>0.27458890236601002</v>
      </c>
      <c r="M192" s="644">
        <v>0.48466751175620099</v>
      </c>
      <c r="N192" s="644">
        <v>0.19585790352377799</v>
      </c>
      <c r="O192" s="644">
        <v>0.202838977312744</v>
      </c>
      <c r="P192" s="644">
        <v>0.46023375349481799</v>
      </c>
      <c r="Q192" s="644">
        <v>0.10445754854601499</v>
      </c>
      <c r="R192" s="644">
        <v>0.153195785924539</v>
      </c>
      <c r="S192" s="644">
        <v>0.13975075492356701</v>
      </c>
      <c r="T192" s="644"/>
      <c r="U192" s="644"/>
      <c r="V192" s="644"/>
      <c r="W192" s="644"/>
      <c r="X192" s="644"/>
      <c r="Y192" s="644"/>
      <c r="Z192" s="644"/>
      <c r="AA192" s="644"/>
      <c r="AB192" s="644"/>
      <c r="AC192" s="644"/>
      <c r="AD192" s="644"/>
      <c r="AE192" s="644"/>
      <c r="AF192" s="204">
        <f t="shared" si="50"/>
        <v>8.3845281788370531</v>
      </c>
    </row>
    <row r="193" spans="2:32" x14ac:dyDescent="0.2">
      <c r="B193" s="200">
        <f t="shared" si="48"/>
        <v>1.4583333333333339</v>
      </c>
      <c r="C193" s="200">
        <f t="shared" si="49"/>
        <v>1.5000000000000007</v>
      </c>
      <c r="D193" s="271">
        <f t="shared" si="46"/>
        <v>12</v>
      </c>
      <c r="E193" s="202" t="s">
        <v>340</v>
      </c>
      <c r="F193" s="203" t="s">
        <v>358</v>
      </c>
      <c r="G193" s="644">
        <v>1.35148417388619</v>
      </c>
      <c r="H193" s="644">
        <v>0.85324235198477505</v>
      </c>
      <c r="I193" s="644">
        <v>1.0951236308580401</v>
      </c>
      <c r="J193" s="644">
        <v>0.72111906657137503</v>
      </c>
      <c r="K193" s="644">
        <v>3.0436188928450898</v>
      </c>
      <c r="L193" s="644">
        <v>0.431663062617752</v>
      </c>
      <c r="M193" s="644">
        <v>0.42209640594398401</v>
      </c>
      <c r="N193" s="644">
        <v>0.27782088097201202</v>
      </c>
      <c r="O193" s="644">
        <v>0.23296101792069099</v>
      </c>
      <c r="P193" s="644">
        <v>0.58175614908052897</v>
      </c>
      <c r="Q193" s="644">
        <v>0.104974665122975</v>
      </c>
      <c r="R193" s="644">
        <v>0.15629848538630201</v>
      </c>
      <c r="S193" s="644">
        <v>0.16560658377159099</v>
      </c>
      <c r="T193" s="644"/>
      <c r="U193" s="644"/>
      <c r="V193" s="644"/>
      <c r="W193" s="644"/>
      <c r="X193" s="644"/>
      <c r="Y193" s="644"/>
      <c r="Z193" s="644"/>
      <c r="AA193" s="644"/>
      <c r="AB193" s="644"/>
      <c r="AC193" s="644"/>
      <c r="AD193" s="644"/>
      <c r="AE193" s="644"/>
      <c r="AF193" s="204">
        <f t="shared" si="50"/>
        <v>9.4377653669613064</v>
      </c>
    </row>
    <row r="194" spans="2:32" x14ac:dyDescent="0.2">
      <c r="B194" s="200">
        <f t="shared" si="48"/>
        <v>1.5000000000000007</v>
      </c>
      <c r="C194" s="200">
        <f t="shared" si="49"/>
        <v>1.5416666666666674</v>
      </c>
      <c r="D194" s="271">
        <f t="shared" si="46"/>
        <v>13</v>
      </c>
      <c r="E194" s="202" t="s">
        <v>340</v>
      </c>
      <c r="F194" s="203" t="s">
        <v>358</v>
      </c>
      <c r="G194" s="644">
        <v>1.39595619950479</v>
      </c>
      <c r="H194" s="644">
        <v>0.47238599305338902</v>
      </c>
      <c r="I194" s="644">
        <v>2.0625194672068301</v>
      </c>
      <c r="J194" s="644">
        <v>0.89008690809320901</v>
      </c>
      <c r="K194" s="644">
        <v>3.34651992779968</v>
      </c>
      <c r="L194" s="644">
        <v>0.59209848061973802</v>
      </c>
      <c r="M194" s="644">
        <v>0.64794707093146897</v>
      </c>
      <c r="N194" s="644">
        <v>0.238649300267257</v>
      </c>
      <c r="O194" s="644">
        <v>0.25429207672031101</v>
      </c>
      <c r="P194" s="644">
        <v>0.69500467943487099</v>
      </c>
      <c r="Q194" s="644">
        <v>9.1271075833522897E-2</v>
      </c>
      <c r="R194" s="644">
        <v>0.169743516387274</v>
      </c>
      <c r="S194" s="644">
        <v>0.161081813723187</v>
      </c>
      <c r="T194" s="644"/>
      <c r="U194" s="644"/>
      <c r="V194" s="644"/>
      <c r="W194" s="644"/>
      <c r="X194" s="644"/>
      <c r="Y194" s="644"/>
      <c r="Z194" s="644"/>
      <c r="AA194" s="644"/>
      <c r="AB194" s="644"/>
      <c r="AC194" s="644"/>
      <c r="AD194" s="644"/>
      <c r="AE194" s="644"/>
      <c r="AF194" s="204">
        <f t="shared" si="50"/>
        <v>11.017556509575531</v>
      </c>
    </row>
    <row r="195" spans="2:32" x14ac:dyDescent="0.2">
      <c r="B195" s="200">
        <f t="shared" si="48"/>
        <v>1.5416666666666674</v>
      </c>
      <c r="C195" s="200">
        <f t="shared" si="49"/>
        <v>1.5833333333333341</v>
      </c>
      <c r="D195" s="271">
        <f t="shared" si="46"/>
        <v>14</v>
      </c>
      <c r="E195" s="202" t="s">
        <v>340</v>
      </c>
      <c r="F195" s="203" t="s">
        <v>358</v>
      </c>
      <c r="G195" s="644">
        <v>1.4108233010924001</v>
      </c>
      <c r="H195" s="644">
        <v>0.75499020236228698</v>
      </c>
      <c r="I195" s="644">
        <v>1.08038580841466</v>
      </c>
      <c r="J195" s="644">
        <v>0.69241909655006895</v>
      </c>
      <c r="K195" s="644">
        <v>1.46874035771198</v>
      </c>
      <c r="L195" s="644">
        <v>0.56313995230995195</v>
      </c>
      <c r="M195" s="644">
        <v>0.58007552020540698</v>
      </c>
      <c r="N195" s="644">
        <v>0.229211922737728</v>
      </c>
      <c r="O195" s="644">
        <v>0.23916641684421799</v>
      </c>
      <c r="P195" s="644">
        <v>0.70702763984920103</v>
      </c>
      <c r="Q195" s="644">
        <v>9.3598100429844996E-2</v>
      </c>
      <c r="R195" s="644">
        <v>0.16327955917526901</v>
      </c>
      <c r="S195" s="644">
        <v>0.16198676773286799</v>
      </c>
      <c r="T195" s="644"/>
      <c r="U195" s="644"/>
      <c r="V195" s="644"/>
      <c r="W195" s="644"/>
      <c r="X195" s="644"/>
      <c r="Y195" s="644"/>
      <c r="Z195" s="644"/>
      <c r="AA195" s="644"/>
      <c r="AB195" s="644"/>
      <c r="AC195" s="644"/>
      <c r="AD195" s="644"/>
      <c r="AE195" s="644"/>
      <c r="AF195" s="204">
        <f t="shared" si="50"/>
        <v>8.1448446454158834</v>
      </c>
    </row>
    <row r="196" spans="2:32" x14ac:dyDescent="0.2">
      <c r="B196" s="200">
        <f t="shared" si="48"/>
        <v>1.5833333333333341</v>
      </c>
      <c r="C196" s="200">
        <f t="shared" si="49"/>
        <v>1.6250000000000009</v>
      </c>
      <c r="D196" s="271">
        <f t="shared" si="46"/>
        <v>15</v>
      </c>
      <c r="E196" s="202" t="s">
        <v>340</v>
      </c>
      <c r="F196" s="203" t="s">
        <v>358</v>
      </c>
      <c r="G196" s="644">
        <v>1.51230742932089</v>
      </c>
      <c r="H196" s="644">
        <v>1.5213569694177</v>
      </c>
      <c r="I196" s="644">
        <v>1.38638954283102</v>
      </c>
      <c r="J196" s="644">
        <v>0.58369533624412995</v>
      </c>
      <c r="K196" s="644">
        <v>1.2679698467070699</v>
      </c>
      <c r="L196" s="644">
        <v>0.45945807862937799</v>
      </c>
      <c r="M196" s="644">
        <v>0.53624989030800696</v>
      </c>
      <c r="N196" s="644">
        <v>0.23412453021885299</v>
      </c>
      <c r="O196" s="644">
        <v>0.19753853239889901</v>
      </c>
      <c r="P196" s="644">
        <v>0.355259088371843</v>
      </c>
      <c r="Q196" s="644">
        <v>9.0753959256562405E-2</v>
      </c>
      <c r="R196" s="644">
        <v>0.40761714178908998</v>
      </c>
      <c r="S196" s="644">
        <v>0.16043541800198599</v>
      </c>
      <c r="T196" s="644"/>
      <c r="U196" s="644"/>
      <c r="V196" s="644"/>
      <c r="W196" s="644"/>
      <c r="X196" s="644"/>
      <c r="Y196" s="644"/>
      <c r="Z196" s="644"/>
      <c r="AA196" s="644"/>
      <c r="AB196" s="644"/>
      <c r="AC196" s="644"/>
      <c r="AD196" s="644"/>
      <c r="AE196" s="644"/>
      <c r="AF196" s="204">
        <f t="shared" si="50"/>
        <v>8.7131557634954291</v>
      </c>
    </row>
    <row r="197" spans="2:32" x14ac:dyDescent="0.2">
      <c r="B197" s="200">
        <f t="shared" si="48"/>
        <v>1.6250000000000009</v>
      </c>
      <c r="C197" s="200">
        <f t="shared" si="49"/>
        <v>1.6666666666666676</v>
      </c>
      <c r="D197" s="271">
        <f t="shared" si="46"/>
        <v>16</v>
      </c>
      <c r="E197" s="202" t="s">
        <v>340</v>
      </c>
      <c r="F197" s="203" t="s">
        <v>358</v>
      </c>
      <c r="G197" s="644">
        <v>1.5260110186103499</v>
      </c>
      <c r="H197" s="644">
        <v>2.0268384233965602</v>
      </c>
      <c r="I197" s="644">
        <v>0.96248322886767501</v>
      </c>
      <c r="J197" s="644">
        <v>0.71142313075336705</v>
      </c>
      <c r="K197" s="644">
        <v>1.31347610547959</v>
      </c>
      <c r="L197" s="644">
        <v>0.25248216870094897</v>
      </c>
      <c r="M197" s="644">
        <v>0.65104977039323197</v>
      </c>
      <c r="N197" s="644">
        <v>0.21964526606396001</v>
      </c>
      <c r="O197" s="644">
        <v>0.23813218369029701</v>
      </c>
      <c r="P197" s="644">
        <v>0.269417736596405</v>
      </c>
      <c r="Q197" s="644">
        <v>0.107948085440498</v>
      </c>
      <c r="R197" s="644">
        <v>0.45519186686945301</v>
      </c>
      <c r="S197" s="644">
        <v>0.174139007291438</v>
      </c>
      <c r="T197" s="644"/>
      <c r="U197" s="644"/>
      <c r="V197" s="644"/>
      <c r="W197" s="644"/>
      <c r="X197" s="644"/>
      <c r="Y197" s="644"/>
      <c r="Z197" s="644"/>
      <c r="AA197" s="644"/>
      <c r="AB197" s="644"/>
      <c r="AC197" s="644"/>
      <c r="AD197" s="644"/>
      <c r="AE197" s="644"/>
      <c r="AF197" s="204">
        <f t="shared" si="50"/>
        <v>8.9082379921537758</v>
      </c>
    </row>
    <row r="198" spans="2:32" x14ac:dyDescent="0.2">
      <c r="B198" s="200">
        <f t="shared" si="48"/>
        <v>1.6666666666666676</v>
      </c>
      <c r="C198" s="200">
        <f t="shared" si="49"/>
        <v>1.7083333333333344</v>
      </c>
      <c r="D198" s="271">
        <f t="shared" si="46"/>
        <v>17</v>
      </c>
      <c r="E198" s="202" t="s">
        <v>340</v>
      </c>
      <c r="F198" s="203" t="s">
        <v>358</v>
      </c>
      <c r="G198" s="644">
        <v>1.6214190270595501</v>
      </c>
      <c r="H198" s="644">
        <v>1.61909200246323</v>
      </c>
      <c r="I198" s="644">
        <v>1.07780022552986</v>
      </c>
      <c r="J198" s="644">
        <v>0.64549076719090603</v>
      </c>
      <c r="K198" s="644">
        <v>1.30403872795007</v>
      </c>
      <c r="L198" s="644">
        <v>0.239812812565418</v>
      </c>
      <c r="M198" s="644">
        <v>0.75861001840100895</v>
      </c>
      <c r="N198" s="644">
        <v>0.43579999523343599</v>
      </c>
      <c r="O198" s="644">
        <v>0.243432628604142</v>
      </c>
      <c r="P198" s="644">
        <v>0.34879513115983701</v>
      </c>
      <c r="Q198" s="644">
        <v>8.3643606323356004E-2</v>
      </c>
      <c r="R198" s="644">
        <v>0.48440895346772</v>
      </c>
      <c r="S198" s="644">
        <v>0.15151515704941801</v>
      </c>
      <c r="T198" s="644"/>
      <c r="U198" s="644"/>
      <c r="V198" s="644"/>
      <c r="W198" s="644"/>
      <c r="X198" s="644"/>
      <c r="Y198" s="644"/>
      <c r="Z198" s="644"/>
      <c r="AA198" s="644"/>
      <c r="AB198" s="644"/>
      <c r="AC198" s="644"/>
      <c r="AD198" s="644"/>
      <c r="AE198" s="644"/>
      <c r="AF198" s="204">
        <f t="shared" si="50"/>
        <v>9.0138590529979528</v>
      </c>
    </row>
    <row r="199" spans="2:32" x14ac:dyDescent="0.2">
      <c r="B199" s="200">
        <f t="shared" si="48"/>
        <v>1.7083333333333344</v>
      </c>
      <c r="C199" s="200">
        <f t="shared" si="49"/>
        <v>1.7500000000000011</v>
      </c>
      <c r="D199" s="271">
        <f t="shared" si="46"/>
        <v>18</v>
      </c>
      <c r="E199" s="202" t="s">
        <v>361</v>
      </c>
      <c r="F199" s="203" t="s">
        <v>358</v>
      </c>
      <c r="G199" s="644">
        <v>2.05799469715843</v>
      </c>
      <c r="H199" s="644">
        <v>1.4315079641708199</v>
      </c>
      <c r="I199" s="644">
        <v>2.2215328146221802</v>
      </c>
      <c r="J199" s="644">
        <v>1.03048405873798</v>
      </c>
      <c r="K199" s="644">
        <v>2.0781622436598801</v>
      </c>
      <c r="L199" s="644">
        <v>0.16043541800198599</v>
      </c>
      <c r="M199" s="644">
        <v>0.75408524835260504</v>
      </c>
      <c r="N199" s="644">
        <v>0.43605855352191603</v>
      </c>
      <c r="O199" s="644">
        <v>0.29087807454026399</v>
      </c>
      <c r="P199" s="644">
        <v>0.25558486816271198</v>
      </c>
      <c r="Q199" s="644">
        <v>0.12514221162443301</v>
      </c>
      <c r="R199" s="644">
        <v>0.30238391837763501</v>
      </c>
      <c r="S199" s="644">
        <v>0.151644436193658</v>
      </c>
      <c r="T199" s="644"/>
      <c r="U199" s="644"/>
      <c r="V199" s="644"/>
      <c r="W199" s="644"/>
      <c r="X199" s="644"/>
      <c r="Y199" s="644"/>
      <c r="Z199" s="644"/>
      <c r="AA199" s="644"/>
      <c r="AB199" s="644"/>
      <c r="AC199" s="644"/>
      <c r="AD199" s="644"/>
      <c r="AE199" s="644"/>
      <c r="AF199" s="204">
        <f t="shared" si="50"/>
        <v>11.295894507124501</v>
      </c>
    </row>
    <row r="200" spans="2:32" x14ac:dyDescent="0.2">
      <c r="B200" s="205"/>
      <c r="C200" s="205" t="s">
        <v>622</v>
      </c>
      <c r="D200" s="205"/>
      <c r="E200" s="205"/>
      <c r="F200" s="205" t="s">
        <v>356</v>
      </c>
      <c r="G200" s="206">
        <f>MAX(G176:G178)</f>
        <v>5.2536458636298899</v>
      </c>
      <c r="H200" s="206">
        <f t="shared" ref="H200:AF200" si="51">MAX(H176:H178)</f>
        <v>0.84561488247460803</v>
      </c>
      <c r="I200" s="206">
        <f t="shared" si="51"/>
        <v>2.05127218165795</v>
      </c>
      <c r="J200" s="206">
        <f t="shared" si="51"/>
        <v>2.83599658719546</v>
      </c>
      <c r="K200" s="206">
        <f t="shared" si="51"/>
        <v>3.3933189780145998</v>
      </c>
      <c r="L200" s="206">
        <f t="shared" si="51"/>
        <v>0.63320924848809501</v>
      </c>
      <c r="M200" s="206">
        <f t="shared" si="51"/>
        <v>1.4326714764689801</v>
      </c>
      <c r="N200" s="206">
        <f t="shared" si="51"/>
        <v>0.53082016624992201</v>
      </c>
      <c r="O200" s="206">
        <f t="shared" si="51"/>
        <v>0.34685594399623498</v>
      </c>
      <c r="P200" s="206">
        <f t="shared" si="51"/>
        <v>0.364696465901371</v>
      </c>
      <c r="Q200" s="206">
        <f t="shared" si="51"/>
        <v>0.32591272262933602</v>
      </c>
      <c r="R200" s="206">
        <f t="shared" si="51"/>
        <v>0.245759653200463</v>
      </c>
      <c r="S200" s="206">
        <f t="shared" si="51"/>
        <v>0.17969801049376299</v>
      </c>
      <c r="T200" s="206">
        <f t="shared" si="51"/>
        <v>0</v>
      </c>
      <c r="U200" s="206">
        <f t="shared" si="51"/>
        <v>0</v>
      </c>
      <c r="V200" s="206">
        <f t="shared" si="51"/>
        <v>0</v>
      </c>
      <c r="W200" s="206">
        <f t="shared" si="51"/>
        <v>0</v>
      </c>
      <c r="X200" s="206">
        <f t="shared" si="51"/>
        <v>0</v>
      </c>
      <c r="Y200" s="206">
        <f t="shared" si="51"/>
        <v>0</v>
      </c>
      <c r="Z200" s="206">
        <f t="shared" si="51"/>
        <v>0</v>
      </c>
      <c r="AA200" s="206">
        <f t="shared" si="51"/>
        <v>0</v>
      </c>
      <c r="AB200" s="206">
        <f t="shared" si="51"/>
        <v>0</v>
      </c>
      <c r="AC200" s="206">
        <f t="shared" si="51"/>
        <v>0</v>
      </c>
      <c r="AD200" s="206">
        <f t="shared" si="51"/>
        <v>0</v>
      </c>
      <c r="AE200" s="206">
        <f t="shared" si="51"/>
        <v>0</v>
      </c>
      <c r="AF200" s="206">
        <f t="shared" si="51"/>
        <v>17.125220400055643</v>
      </c>
    </row>
    <row r="201" spans="2:32" x14ac:dyDescent="0.2">
      <c r="B201" s="205"/>
      <c r="C201" s="205" t="s">
        <v>622</v>
      </c>
      <c r="D201" s="205"/>
      <c r="E201" s="205"/>
      <c r="F201" s="205" t="s">
        <v>358</v>
      </c>
      <c r="G201" s="206">
        <f>MAX(G179:G199)</f>
        <v>2.9482108843958801</v>
      </c>
      <c r="H201" s="206">
        <f t="shared" ref="H201:AF201" si="52">MAX(H179:H199)</f>
        <v>2.0268384233965602</v>
      </c>
      <c r="I201" s="206">
        <f t="shared" si="52"/>
        <v>2.2835868038574398</v>
      </c>
      <c r="J201" s="206">
        <f t="shared" si="52"/>
        <v>2.12702976018265</v>
      </c>
      <c r="K201" s="206">
        <f t="shared" si="52"/>
        <v>3.34651992779968</v>
      </c>
      <c r="L201" s="206">
        <f t="shared" si="52"/>
        <v>0.59209848061973802</v>
      </c>
      <c r="M201" s="206">
        <f t="shared" si="52"/>
        <v>2.5376203222892699</v>
      </c>
      <c r="N201" s="206">
        <f t="shared" si="52"/>
        <v>0.60864621108247297</v>
      </c>
      <c r="O201" s="206">
        <f t="shared" si="52"/>
        <v>0.56417418546387299</v>
      </c>
      <c r="P201" s="206">
        <f t="shared" si="52"/>
        <v>0.70702763984920103</v>
      </c>
      <c r="Q201" s="206">
        <f t="shared" si="52"/>
        <v>0.32746407236021802</v>
      </c>
      <c r="R201" s="206">
        <f t="shared" si="52"/>
        <v>0.48440895346772</v>
      </c>
      <c r="S201" s="206">
        <f t="shared" si="52"/>
        <v>0.17607819445504</v>
      </c>
      <c r="T201" s="206">
        <f t="shared" si="52"/>
        <v>0</v>
      </c>
      <c r="U201" s="206">
        <f t="shared" si="52"/>
        <v>0</v>
      </c>
      <c r="V201" s="206">
        <f t="shared" si="52"/>
        <v>0</v>
      </c>
      <c r="W201" s="206">
        <f t="shared" si="52"/>
        <v>0</v>
      </c>
      <c r="X201" s="206">
        <f t="shared" si="52"/>
        <v>0</v>
      </c>
      <c r="Y201" s="206">
        <f t="shared" si="52"/>
        <v>0</v>
      </c>
      <c r="Z201" s="206">
        <f t="shared" si="52"/>
        <v>0</v>
      </c>
      <c r="AA201" s="206">
        <f t="shared" si="52"/>
        <v>0</v>
      </c>
      <c r="AB201" s="206">
        <f t="shared" si="52"/>
        <v>0</v>
      </c>
      <c r="AC201" s="206">
        <f t="shared" si="52"/>
        <v>0</v>
      </c>
      <c r="AD201" s="206">
        <f t="shared" si="52"/>
        <v>0</v>
      </c>
      <c r="AE201" s="206">
        <f t="shared" si="52"/>
        <v>0</v>
      </c>
      <c r="AF201" s="206">
        <f t="shared" si="52"/>
        <v>13.488339514292658</v>
      </c>
    </row>
    <row r="202" spans="2:32" x14ac:dyDescent="0.2">
      <c r="B202" s="205"/>
      <c r="C202" s="205"/>
      <c r="D202" s="205"/>
      <c r="E202" s="205"/>
      <c r="F202" s="205" t="s">
        <v>710</v>
      </c>
      <c r="G202" s="645">
        <v>1.1072532184974599</v>
      </c>
      <c r="H202" s="645">
        <v>0.88012858122681104</v>
      </c>
      <c r="I202" s="645">
        <v>0.84914101959139499</v>
      </c>
      <c r="J202" s="645">
        <v>1.08932757501443</v>
      </c>
      <c r="K202" s="645">
        <v>0.972754140043258</v>
      </c>
      <c r="L202" s="645">
        <v>1.0814043876317201</v>
      </c>
      <c r="M202" s="645">
        <v>1.0483270858398599</v>
      </c>
      <c r="N202" s="645">
        <v>1.0969327084499201</v>
      </c>
      <c r="O202" s="645">
        <v>1.10779220779221</v>
      </c>
      <c r="P202" s="645">
        <v>1.05774880956401</v>
      </c>
      <c r="Q202" s="645">
        <v>0.78724161602806897</v>
      </c>
      <c r="R202" s="645">
        <v>1.2414797149274801</v>
      </c>
      <c r="S202" s="645">
        <v>1.1682470390381801</v>
      </c>
      <c r="T202" s="645"/>
      <c r="U202" s="645"/>
      <c r="V202" s="645"/>
      <c r="W202" s="645"/>
      <c r="X202" s="645"/>
      <c r="Y202" s="645"/>
      <c r="Z202" s="645"/>
      <c r="AA202" s="645"/>
      <c r="AB202" s="645"/>
      <c r="AC202" s="645"/>
      <c r="AD202" s="645"/>
      <c r="AE202" s="645"/>
      <c r="AF202" s="270"/>
    </row>
    <row r="203" spans="2:32" x14ac:dyDescent="0.2">
      <c r="B203" s="205"/>
      <c r="C203" s="205"/>
      <c r="D203" s="205"/>
      <c r="E203" s="205"/>
      <c r="F203" s="205" t="s">
        <v>702</v>
      </c>
      <c r="G203" s="645">
        <v>1.0449613660183099</v>
      </c>
      <c r="H203" s="645">
        <v>0.39488319436754699</v>
      </c>
      <c r="I203" s="645">
        <v>0.79565354165574398</v>
      </c>
      <c r="J203" s="645">
        <v>1.0396981390652</v>
      </c>
      <c r="K203" s="645">
        <v>0.95584724354846695</v>
      </c>
      <c r="L203" s="645">
        <v>1.0139776587781399</v>
      </c>
      <c r="M203" s="645">
        <v>0.99168932687024902</v>
      </c>
      <c r="N203" s="645">
        <v>1.06778119753777</v>
      </c>
      <c r="O203" s="645">
        <v>1.1174299384825701</v>
      </c>
      <c r="P203" s="645">
        <v>1.0241970889196601</v>
      </c>
      <c r="Q203" s="645">
        <v>1.1737306450382601</v>
      </c>
      <c r="R203" s="645">
        <v>1.163001580655</v>
      </c>
      <c r="S203" s="645">
        <v>1.26271156116936</v>
      </c>
      <c r="T203" s="645"/>
      <c r="U203" s="645"/>
      <c r="V203" s="645"/>
      <c r="W203" s="645"/>
      <c r="X203" s="645"/>
      <c r="Y203" s="645"/>
      <c r="Z203" s="645"/>
      <c r="AA203" s="645"/>
      <c r="AB203" s="645"/>
      <c r="AC203" s="645"/>
      <c r="AD203" s="645"/>
      <c r="AE203" s="645"/>
      <c r="AF203" s="270"/>
    </row>
    <row r="204" spans="2:32" x14ac:dyDescent="0.2">
      <c r="B204" s="205"/>
      <c r="C204" s="205"/>
      <c r="D204" s="205"/>
      <c r="E204" s="205"/>
      <c r="F204" s="205" t="s">
        <v>711</v>
      </c>
      <c r="G204" s="645">
        <v>16071.2562753033</v>
      </c>
      <c r="H204" s="645">
        <v>5035.2398674426204</v>
      </c>
      <c r="I204" s="645">
        <v>10199.0015618984</v>
      </c>
      <c r="J204" s="645">
        <v>10669.835170987801</v>
      </c>
      <c r="K204" s="645">
        <v>14128.929567683699</v>
      </c>
      <c r="L204" s="645">
        <v>3323.6518692541899</v>
      </c>
      <c r="M204" s="645">
        <v>6822.3407187357097</v>
      </c>
      <c r="N204" s="645">
        <v>2766.1641304095601</v>
      </c>
      <c r="O204" s="645">
        <v>2857.97507594943</v>
      </c>
      <c r="P204" s="645">
        <v>2828.7935411158301</v>
      </c>
      <c r="Q204" s="645">
        <v>1853.53869630953</v>
      </c>
      <c r="R204" s="645">
        <v>1806.50009184033</v>
      </c>
      <c r="S204" s="645">
        <v>1408.2404330696299</v>
      </c>
      <c r="T204" s="645"/>
      <c r="U204" s="645"/>
      <c r="V204" s="645"/>
      <c r="W204" s="645"/>
      <c r="X204" s="645"/>
      <c r="Y204" s="645"/>
      <c r="Z204" s="645"/>
      <c r="AA204" s="645"/>
      <c r="AB204" s="645"/>
      <c r="AC204" s="645"/>
      <c r="AD204" s="645"/>
      <c r="AE204" s="645"/>
      <c r="AF204" s="270"/>
    </row>
    <row r="206" spans="2:32" x14ac:dyDescent="0.2">
      <c r="B206" s="803" t="s">
        <v>19</v>
      </c>
      <c r="C206" s="804"/>
      <c r="D206" s="800"/>
      <c r="E206" s="801"/>
      <c r="F206" s="802"/>
      <c r="G206" s="196" t="s">
        <v>19</v>
      </c>
      <c r="H206" s="196" t="s">
        <v>19</v>
      </c>
      <c r="I206" s="196" t="s">
        <v>19</v>
      </c>
      <c r="J206" s="196" t="s">
        <v>19</v>
      </c>
      <c r="K206" s="196" t="s">
        <v>19</v>
      </c>
      <c r="L206" s="196" t="s">
        <v>19</v>
      </c>
      <c r="M206" s="196" t="s">
        <v>19</v>
      </c>
      <c r="N206" s="196" t="s">
        <v>19</v>
      </c>
      <c r="O206" s="196" t="s">
        <v>19</v>
      </c>
      <c r="P206" s="196" t="s">
        <v>19</v>
      </c>
      <c r="Q206" s="196" t="s">
        <v>19</v>
      </c>
      <c r="R206" s="196" t="s">
        <v>19</v>
      </c>
      <c r="S206" s="196" t="s">
        <v>19</v>
      </c>
      <c r="T206" s="196" t="s">
        <v>19</v>
      </c>
      <c r="U206" s="196" t="s">
        <v>19</v>
      </c>
      <c r="V206" s="196" t="s">
        <v>19</v>
      </c>
      <c r="W206" s="196" t="s">
        <v>19</v>
      </c>
      <c r="X206" s="196" t="s">
        <v>19</v>
      </c>
      <c r="Y206" s="196" t="s">
        <v>19</v>
      </c>
      <c r="Z206" s="196" t="s">
        <v>19</v>
      </c>
      <c r="AA206" s="196" t="s">
        <v>19</v>
      </c>
      <c r="AB206" s="196" t="s">
        <v>19</v>
      </c>
      <c r="AC206" s="196" t="s">
        <v>19</v>
      </c>
      <c r="AD206" s="196" t="s">
        <v>19</v>
      </c>
      <c r="AE206" s="196" t="s">
        <v>19</v>
      </c>
      <c r="AF206" s="197"/>
    </row>
    <row r="207" spans="2:32" x14ac:dyDescent="0.2">
      <c r="B207" s="803" t="s">
        <v>20</v>
      </c>
      <c r="C207" s="804"/>
      <c r="D207" s="390"/>
      <c r="E207" s="391"/>
      <c r="F207" s="392"/>
      <c r="G207" s="196">
        <v>1</v>
      </c>
      <c r="H207" s="196">
        <v>2</v>
      </c>
      <c r="I207" s="196">
        <v>3</v>
      </c>
      <c r="J207" s="196">
        <v>4</v>
      </c>
      <c r="K207" s="196">
        <v>5</v>
      </c>
      <c r="L207" s="196">
        <v>6</v>
      </c>
      <c r="M207" s="196">
        <v>7</v>
      </c>
      <c r="N207" s="196">
        <v>8</v>
      </c>
      <c r="O207" s="196">
        <v>9</v>
      </c>
      <c r="P207" s="196">
        <v>10</v>
      </c>
      <c r="Q207" s="196">
        <v>11</v>
      </c>
      <c r="R207" s="196">
        <v>12</v>
      </c>
      <c r="S207" s="196">
        <v>13</v>
      </c>
      <c r="T207" s="196">
        <v>14</v>
      </c>
      <c r="U207" s="196">
        <v>15</v>
      </c>
      <c r="V207" s="196">
        <v>16</v>
      </c>
      <c r="W207" s="196">
        <v>17</v>
      </c>
      <c r="X207" s="196">
        <v>18</v>
      </c>
      <c r="Y207" s="196">
        <v>19</v>
      </c>
      <c r="Z207" s="196">
        <v>20</v>
      </c>
      <c r="AA207" s="196">
        <v>21</v>
      </c>
      <c r="AB207" s="196">
        <v>22</v>
      </c>
      <c r="AC207" s="196">
        <v>23</v>
      </c>
      <c r="AD207" s="196">
        <v>24</v>
      </c>
      <c r="AE207" s="196">
        <v>25</v>
      </c>
      <c r="AF207" s="197" t="s">
        <v>620</v>
      </c>
    </row>
    <row r="208" spans="2:32" x14ac:dyDescent="0.2">
      <c r="B208" s="803"/>
      <c r="C208" s="804"/>
      <c r="D208" s="800" t="s">
        <v>48</v>
      </c>
      <c r="E208" s="801"/>
      <c r="F208" s="802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7"/>
    </row>
    <row r="209" spans="2:32" x14ac:dyDescent="0.2">
      <c r="B209" s="803" t="s">
        <v>47</v>
      </c>
      <c r="C209" s="804"/>
      <c r="D209" s="390"/>
      <c r="E209" s="391" t="s">
        <v>360</v>
      </c>
      <c r="F209" s="392"/>
      <c r="G209" s="198" t="s">
        <v>343</v>
      </c>
      <c r="H209" s="198" t="s">
        <v>343</v>
      </c>
      <c r="I209" s="198" t="s">
        <v>343</v>
      </c>
      <c r="J209" s="198" t="s">
        <v>343</v>
      </c>
      <c r="K209" s="198" t="s">
        <v>343</v>
      </c>
      <c r="L209" s="198" t="s">
        <v>343</v>
      </c>
      <c r="M209" s="198" t="s">
        <v>343</v>
      </c>
      <c r="N209" s="198" t="s">
        <v>343</v>
      </c>
      <c r="O209" s="198" t="s">
        <v>343</v>
      </c>
      <c r="P209" s="198" t="s">
        <v>343</v>
      </c>
      <c r="Q209" s="198" t="s">
        <v>343</v>
      </c>
      <c r="R209" s="198" t="s">
        <v>343</v>
      </c>
      <c r="S209" s="198" t="s">
        <v>343</v>
      </c>
      <c r="T209" s="198" t="s">
        <v>343</v>
      </c>
      <c r="U209" s="198" t="s">
        <v>343</v>
      </c>
      <c r="V209" s="198" t="s">
        <v>343</v>
      </c>
      <c r="W209" s="198" t="s">
        <v>343</v>
      </c>
      <c r="X209" s="198" t="s">
        <v>343</v>
      </c>
      <c r="Y209" s="198" t="s">
        <v>343</v>
      </c>
      <c r="Z209" s="198" t="s">
        <v>343</v>
      </c>
      <c r="AA209" s="198" t="s">
        <v>343</v>
      </c>
      <c r="AB209" s="198" t="s">
        <v>343</v>
      </c>
      <c r="AC209" s="198" t="s">
        <v>343</v>
      </c>
      <c r="AD209" s="198" t="s">
        <v>343</v>
      </c>
      <c r="AE209" s="198" t="s">
        <v>343</v>
      </c>
      <c r="AF209" s="199" t="s">
        <v>343</v>
      </c>
    </row>
    <row r="210" spans="2:32" x14ac:dyDescent="0.2">
      <c r="B210" s="200">
        <f>'DADOS-Campanha'!$J$23</f>
        <v>0.75</v>
      </c>
      <c r="C210" s="200">
        <f>B210+$C$1</f>
        <v>0.79166666666666663</v>
      </c>
      <c r="D210" s="271">
        <f t="shared" ref="D210:D233" si="53">HOUR(B210)+HOUR($C$1)</f>
        <v>19</v>
      </c>
      <c r="E210" s="202" t="s">
        <v>339</v>
      </c>
      <c r="F210" s="203" t="s">
        <v>356</v>
      </c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  <c r="W210" s="644"/>
      <c r="X210" s="644"/>
      <c r="Y210" s="644"/>
      <c r="Z210" s="644"/>
      <c r="AA210" s="644"/>
      <c r="AB210" s="644"/>
      <c r="AC210" s="644"/>
      <c r="AD210" s="644"/>
      <c r="AE210" s="644"/>
      <c r="AF210" s="204">
        <f t="shared" ref="AF210:AF219" si="54">SUM(G210:AE210)</f>
        <v>0</v>
      </c>
    </row>
    <row r="211" spans="2:32" x14ac:dyDescent="0.2">
      <c r="B211" s="200">
        <f>C210</f>
        <v>0.79166666666666663</v>
      </c>
      <c r="C211" s="200">
        <f>B211+$C$1</f>
        <v>0.83333333333333326</v>
      </c>
      <c r="D211" s="271">
        <f t="shared" si="53"/>
        <v>20</v>
      </c>
      <c r="E211" s="202" t="s">
        <v>339</v>
      </c>
      <c r="F211" s="203" t="s">
        <v>356</v>
      </c>
      <c r="G211" s="644"/>
      <c r="H211" s="644"/>
      <c r="I211" s="644"/>
      <c r="J211" s="644"/>
      <c r="K211" s="644"/>
      <c r="L211" s="644"/>
      <c r="M211" s="644"/>
      <c r="N211" s="644"/>
      <c r="O211" s="644"/>
      <c r="P211" s="644"/>
      <c r="Q211" s="644"/>
      <c r="R211" s="644"/>
      <c r="S211" s="644"/>
      <c r="T211" s="644"/>
      <c r="U211" s="644"/>
      <c r="V211" s="644"/>
      <c r="W211" s="644"/>
      <c r="X211" s="644"/>
      <c r="Y211" s="644"/>
      <c r="Z211" s="644"/>
      <c r="AA211" s="644"/>
      <c r="AB211" s="644"/>
      <c r="AC211" s="644"/>
      <c r="AD211" s="644"/>
      <c r="AE211" s="644"/>
      <c r="AF211" s="204">
        <f t="shared" si="54"/>
        <v>0</v>
      </c>
    </row>
    <row r="212" spans="2:32" x14ac:dyDescent="0.2">
      <c r="B212" s="200">
        <f t="shared" ref="B212:B233" si="55">C211</f>
        <v>0.83333333333333326</v>
      </c>
      <c r="C212" s="200">
        <f t="shared" ref="C212:C233" si="56">B212+$C$1</f>
        <v>0.87499999999999989</v>
      </c>
      <c r="D212" s="271">
        <f t="shared" si="53"/>
        <v>21</v>
      </c>
      <c r="E212" s="202" t="s">
        <v>339</v>
      </c>
      <c r="F212" s="203" t="s">
        <v>356</v>
      </c>
      <c r="G212" s="644"/>
      <c r="H212" s="644"/>
      <c r="I212" s="644"/>
      <c r="J212" s="644"/>
      <c r="K212" s="644"/>
      <c r="L212" s="644"/>
      <c r="M212" s="644"/>
      <c r="N212" s="644"/>
      <c r="O212" s="644"/>
      <c r="P212" s="644"/>
      <c r="Q212" s="644"/>
      <c r="R212" s="644"/>
      <c r="S212" s="644"/>
      <c r="T212" s="644"/>
      <c r="U212" s="644"/>
      <c r="V212" s="644"/>
      <c r="W212" s="644"/>
      <c r="X212" s="644"/>
      <c r="Y212" s="644"/>
      <c r="Z212" s="644"/>
      <c r="AA212" s="644"/>
      <c r="AB212" s="644"/>
      <c r="AC212" s="644"/>
      <c r="AD212" s="644"/>
      <c r="AE212" s="644"/>
      <c r="AF212" s="204">
        <f t="shared" si="54"/>
        <v>0</v>
      </c>
    </row>
    <row r="213" spans="2:32" x14ac:dyDescent="0.2">
      <c r="B213" s="200">
        <f t="shared" si="55"/>
        <v>0.87499999999999989</v>
      </c>
      <c r="C213" s="200">
        <f t="shared" si="56"/>
        <v>0.91666666666666652</v>
      </c>
      <c r="D213" s="271">
        <f t="shared" si="53"/>
        <v>22</v>
      </c>
      <c r="E213" s="202" t="s">
        <v>361</v>
      </c>
      <c r="F213" s="203" t="s">
        <v>358</v>
      </c>
      <c r="G213" s="644"/>
      <c r="H213" s="644"/>
      <c r="I213" s="644"/>
      <c r="J213" s="644"/>
      <c r="K213" s="644"/>
      <c r="L213" s="644"/>
      <c r="M213" s="644"/>
      <c r="N213" s="644"/>
      <c r="O213" s="644"/>
      <c r="P213" s="644"/>
      <c r="Q213" s="644"/>
      <c r="R213" s="644"/>
      <c r="S213" s="644"/>
      <c r="T213" s="644"/>
      <c r="U213" s="644"/>
      <c r="V213" s="644"/>
      <c r="W213" s="644"/>
      <c r="X213" s="644"/>
      <c r="Y213" s="644"/>
      <c r="Z213" s="644"/>
      <c r="AA213" s="644"/>
      <c r="AB213" s="644"/>
      <c r="AC213" s="644"/>
      <c r="AD213" s="644"/>
      <c r="AE213" s="644"/>
      <c r="AF213" s="204">
        <f t="shared" si="54"/>
        <v>0</v>
      </c>
    </row>
    <row r="214" spans="2:32" x14ac:dyDescent="0.2">
      <c r="B214" s="200">
        <f t="shared" si="55"/>
        <v>0.91666666666666652</v>
      </c>
      <c r="C214" s="200">
        <f t="shared" si="56"/>
        <v>0.95833333333333315</v>
      </c>
      <c r="D214" s="271">
        <f t="shared" si="53"/>
        <v>23</v>
      </c>
      <c r="E214" s="202" t="s">
        <v>340</v>
      </c>
      <c r="F214" s="203" t="s">
        <v>358</v>
      </c>
      <c r="G214" s="644"/>
      <c r="H214" s="644"/>
      <c r="I214" s="644"/>
      <c r="J214" s="644"/>
      <c r="K214" s="644"/>
      <c r="L214" s="644"/>
      <c r="M214" s="644"/>
      <c r="N214" s="644"/>
      <c r="O214" s="644"/>
      <c r="P214" s="644"/>
      <c r="Q214" s="644"/>
      <c r="R214" s="644"/>
      <c r="S214" s="644"/>
      <c r="T214" s="644"/>
      <c r="U214" s="644"/>
      <c r="V214" s="644"/>
      <c r="W214" s="644"/>
      <c r="X214" s="644"/>
      <c r="Y214" s="644"/>
      <c r="Z214" s="644"/>
      <c r="AA214" s="644"/>
      <c r="AB214" s="644"/>
      <c r="AC214" s="644"/>
      <c r="AD214" s="644"/>
      <c r="AE214" s="644"/>
      <c r="AF214" s="204">
        <f t="shared" si="54"/>
        <v>0</v>
      </c>
    </row>
    <row r="215" spans="2:32" x14ac:dyDescent="0.2">
      <c r="B215" s="200">
        <f t="shared" si="55"/>
        <v>0.95833333333333315</v>
      </c>
      <c r="C215" s="200">
        <f t="shared" si="56"/>
        <v>0.99999999999999978</v>
      </c>
      <c r="D215" s="271">
        <f t="shared" si="53"/>
        <v>24</v>
      </c>
      <c r="E215" s="202" t="s">
        <v>340</v>
      </c>
      <c r="F215" s="203" t="s">
        <v>358</v>
      </c>
      <c r="G215" s="644"/>
      <c r="H215" s="644"/>
      <c r="I215" s="644"/>
      <c r="J215" s="644"/>
      <c r="K215" s="644"/>
      <c r="L215" s="644"/>
      <c r="M215" s="644"/>
      <c r="N215" s="644"/>
      <c r="O215" s="644"/>
      <c r="P215" s="644"/>
      <c r="Q215" s="644"/>
      <c r="R215" s="644"/>
      <c r="S215" s="644"/>
      <c r="T215" s="644"/>
      <c r="U215" s="644"/>
      <c r="V215" s="644"/>
      <c r="W215" s="644"/>
      <c r="X215" s="644"/>
      <c r="Y215" s="644"/>
      <c r="Z215" s="644"/>
      <c r="AA215" s="644"/>
      <c r="AB215" s="644"/>
      <c r="AC215" s="644"/>
      <c r="AD215" s="644"/>
      <c r="AE215" s="644"/>
      <c r="AF215" s="204">
        <f t="shared" si="54"/>
        <v>0</v>
      </c>
    </row>
    <row r="216" spans="2:32" x14ac:dyDescent="0.2">
      <c r="B216" s="200">
        <f t="shared" si="55"/>
        <v>0.99999999999999978</v>
      </c>
      <c r="C216" s="200">
        <f t="shared" si="56"/>
        <v>1.0416666666666665</v>
      </c>
      <c r="D216" s="271">
        <f t="shared" si="53"/>
        <v>1</v>
      </c>
      <c r="E216" s="202" t="s">
        <v>340</v>
      </c>
      <c r="F216" s="203" t="s">
        <v>358</v>
      </c>
      <c r="G216" s="644"/>
      <c r="H216" s="644"/>
      <c r="I216" s="644"/>
      <c r="J216" s="644"/>
      <c r="K216" s="644"/>
      <c r="L216" s="644"/>
      <c r="M216" s="644"/>
      <c r="N216" s="644"/>
      <c r="O216" s="644"/>
      <c r="P216" s="644"/>
      <c r="Q216" s="644"/>
      <c r="R216" s="644"/>
      <c r="S216" s="644"/>
      <c r="T216" s="644"/>
      <c r="U216" s="644"/>
      <c r="V216" s="644"/>
      <c r="W216" s="644"/>
      <c r="X216" s="644"/>
      <c r="Y216" s="644"/>
      <c r="Z216" s="644"/>
      <c r="AA216" s="644"/>
      <c r="AB216" s="644"/>
      <c r="AC216" s="644"/>
      <c r="AD216" s="644"/>
      <c r="AE216" s="644"/>
      <c r="AF216" s="204">
        <f t="shared" si="54"/>
        <v>0</v>
      </c>
    </row>
    <row r="217" spans="2:32" x14ac:dyDescent="0.2">
      <c r="B217" s="200">
        <f t="shared" si="55"/>
        <v>1.0416666666666665</v>
      </c>
      <c r="C217" s="200">
        <f t="shared" si="56"/>
        <v>1.0833333333333333</v>
      </c>
      <c r="D217" s="271">
        <f t="shared" si="53"/>
        <v>2</v>
      </c>
      <c r="E217" s="202" t="s">
        <v>340</v>
      </c>
      <c r="F217" s="203" t="s">
        <v>358</v>
      </c>
      <c r="G217" s="644"/>
      <c r="H217" s="644"/>
      <c r="I217" s="644"/>
      <c r="J217" s="644"/>
      <c r="K217" s="644"/>
      <c r="L217" s="644"/>
      <c r="M217" s="644"/>
      <c r="N217" s="644"/>
      <c r="O217" s="644"/>
      <c r="P217" s="644"/>
      <c r="Q217" s="644"/>
      <c r="R217" s="644"/>
      <c r="S217" s="644"/>
      <c r="T217" s="644"/>
      <c r="U217" s="644"/>
      <c r="V217" s="644"/>
      <c r="W217" s="644"/>
      <c r="X217" s="644"/>
      <c r="Y217" s="644"/>
      <c r="Z217" s="644"/>
      <c r="AA217" s="644"/>
      <c r="AB217" s="644"/>
      <c r="AC217" s="644"/>
      <c r="AD217" s="644"/>
      <c r="AE217" s="644"/>
      <c r="AF217" s="204">
        <f t="shared" si="54"/>
        <v>0</v>
      </c>
    </row>
    <row r="218" spans="2:32" x14ac:dyDescent="0.2">
      <c r="B218" s="200">
        <f t="shared" si="55"/>
        <v>1.0833333333333333</v>
      </c>
      <c r="C218" s="200">
        <f t="shared" si="56"/>
        <v>1.125</v>
      </c>
      <c r="D218" s="271">
        <f t="shared" si="53"/>
        <v>3</v>
      </c>
      <c r="E218" s="202" t="s">
        <v>340</v>
      </c>
      <c r="F218" s="203" t="s">
        <v>358</v>
      </c>
      <c r="G218" s="644"/>
      <c r="H218" s="644"/>
      <c r="I218" s="644"/>
      <c r="J218" s="644"/>
      <c r="K218" s="644"/>
      <c r="L218" s="644"/>
      <c r="M218" s="644"/>
      <c r="N218" s="644"/>
      <c r="O218" s="644"/>
      <c r="P218" s="644"/>
      <c r="Q218" s="644"/>
      <c r="R218" s="644"/>
      <c r="S218" s="644"/>
      <c r="T218" s="644"/>
      <c r="U218" s="644"/>
      <c r="V218" s="644"/>
      <c r="W218" s="644"/>
      <c r="X218" s="644"/>
      <c r="Y218" s="644"/>
      <c r="Z218" s="644"/>
      <c r="AA218" s="644"/>
      <c r="AB218" s="644"/>
      <c r="AC218" s="644"/>
      <c r="AD218" s="644"/>
      <c r="AE218" s="644"/>
      <c r="AF218" s="204">
        <f t="shared" si="54"/>
        <v>0</v>
      </c>
    </row>
    <row r="219" spans="2:32" x14ac:dyDescent="0.2">
      <c r="B219" s="200">
        <f t="shared" si="55"/>
        <v>1.125</v>
      </c>
      <c r="C219" s="200">
        <f t="shared" si="56"/>
        <v>1.1666666666666667</v>
      </c>
      <c r="D219" s="271">
        <f t="shared" si="53"/>
        <v>4</v>
      </c>
      <c r="E219" s="202" t="s">
        <v>340</v>
      </c>
      <c r="F219" s="203" t="s">
        <v>358</v>
      </c>
      <c r="G219" s="644"/>
      <c r="H219" s="644"/>
      <c r="I219" s="644"/>
      <c r="J219" s="644"/>
      <c r="K219" s="644"/>
      <c r="L219" s="644"/>
      <c r="M219" s="644"/>
      <c r="N219" s="644"/>
      <c r="O219" s="644"/>
      <c r="P219" s="644"/>
      <c r="Q219" s="644"/>
      <c r="R219" s="644"/>
      <c r="S219" s="644"/>
      <c r="T219" s="644"/>
      <c r="U219" s="644"/>
      <c r="V219" s="644"/>
      <c r="W219" s="644"/>
      <c r="X219" s="644"/>
      <c r="Y219" s="644"/>
      <c r="Z219" s="644"/>
      <c r="AA219" s="644"/>
      <c r="AB219" s="644"/>
      <c r="AC219" s="644"/>
      <c r="AD219" s="644"/>
      <c r="AE219" s="644"/>
      <c r="AF219" s="204">
        <f t="shared" si="54"/>
        <v>0</v>
      </c>
    </row>
    <row r="220" spans="2:32" x14ac:dyDescent="0.2">
      <c r="B220" s="200">
        <f t="shared" si="55"/>
        <v>1.1666666666666667</v>
      </c>
      <c r="C220" s="200">
        <f t="shared" si="56"/>
        <v>1.2083333333333335</v>
      </c>
      <c r="D220" s="271">
        <f t="shared" si="53"/>
        <v>5</v>
      </c>
      <c r="E220" s="202" t="s">
        <v>340</v>
      </c>
      <c r="F220" s="203" t="s">
        <v>358</v>
      </c>
      <c r="G220" s="644"/>
      <c r="H220" s="644"/>
      <c r="I220" s="644"/>
      <c r="J220" s="644"/>
      <c r="K220" s="644"/>
      <c r="L220" s="644"/>
      <c r="M220" s="644"/>
      <c r="N220" s="644"/>
      <c r="O220" s="644"/>
      <c r="P220" s="644"/>
      <c r="Q220" s="644"/>
      <c r="R220" s="644"/>
      <c r="S220" s="644"/>
      <c r="T220" s="644"/>
      <c r="U220" s="644"/>
      <c r="V220" s="644"/>
      <c r="W220" s="644"/>
      <c r="X220" s="644"/>
      <c r="Y220" s="644"/>
      <c r="Z220" s="644"/>
      <c r="AA220" s="644"/>
      <c r="AB220" s="644"/>
      <c r="AC220" s="644"/>
      <c r="AD220" s="644"/>
      <c r="AE220" s="644"/>
      <c r="AF220" s="204">
        <f t="shared" ref="AF220:AF233" si="57">SUM(G220:AE220)</f>
        <v>0</v>
      </c>
    </row>
    <row r="221" spans="2:32" x14ac:dyDescent="0.2">
      <c r="B221" s="200">
        <f t="shared" si="55"/>
        <v>1.2083333333333335</v>
      </c>
      <c r="C221" s="200">
        <f t="shared" si="56"/>
        <v>1.2500000000000002</v>
      </c>
      <c r="D221" s="271">
        <f t="shared" si="53"/>
        <v>6</v>
      </c>
      <c r="E221" s="202" t="s">
        <v>340</v>
      </c>
      <c r="F221" s="203" t="s">
        <v>358</v>
      </c>
      <c r="G221" s="644"/>
      <c r="H221" s="644"/>
      <c r="I221" s="644"/>
      <c r="J221" s="644"/>
      <c r="K221" s="644"/>
      <c r="L221" s="644"/>
      <c r="M221" s="644"/>
      <c r="N221" s="644"/>
      <c r="O221" s="644"/>
      <c r="P221" s="644"/>
      <c r="Q221" s="644"/>
      <c r="R221" s="644"/>
      <c r="S221" s="644"/>
      <c r="T221" s="644"/>
      <c r="U221" s="644"/>
      <c r="V221" s="644"/>
      <c r="W221" s="644"/>
      <c r="X221" s="644"/>
      <c r="Y221" s="644"/>
      <c r="Z221" s="644"/>
      <c r="AA221" s="644"/>
      <c r="AB221" s="644"/>
      <c r="AC221" s="644"/>
      <c r="AD221" s="644"/>
      <c r="AE221" s="644"/>
      <c r="AF221" s="204">
        <f t="shared" si="57"/>
        <v>0</v>
      </c>
    </row>
    <row r="222" spans="2:32" x14ac:dyDescent="0.2">
      <c r="B222" s="200">
        <f t="shared" si="55"/>
        <v>1.2500000000000002</v>
      </c>
      <c r="C222" s="200">
        <f t="shared" si="56"/>
        <v>1.291666666666667</v>
      </c>
      <c r="D222" s="271">
        <f t="shared" si="53"/>
        <v>7</v>
      </c>
      <c r="E222" s="202" t="s">
        <v>340</v>
      </c>
      <c r="F222" s="203" t="s">
        <v>358</v>
      </c>
      <c r="G222" s="644"/>
      <c r="H222" s="644"/>
      <c r="I222" s="644"/>
      <c r="J222" s="644"/>
      <c r="K222" s="644"/>
      <c r="L222" s="644"/>
      <c r="M222" s="644"/>
      <c r="N222" s="644"/>
      <c r="O222" s="644"/>
      <c r="P222" s="644"/>
      <c r="Q222" s="644"/>
      <c r="R222" s="644"/>
      <c r="S222" s="644"/>
      <c r="T222" s="644"/>
      <c r="U222" s="644"/>
      <c r="V222" s="644"/>
      <c r="W222" s="644"/>
      <c r="X222" s="644"/>
      <c r="Y222" s="644"/>
      <c r="Z222" s="644"/>
      <c r="AA222" s="644"/>
      <c r="AB222" s="644"/>
      <c r="AC222" s="644"/>
      <c r="AD222" s="644"/>
      <c r="AE222" s="644"/>
      <c r="AF222" s="204">
        <f t="shared" si="57"/>
        <v>0</v>
      </c>
    </row>
    <row r="223" spans="2:32" x14ac:dyDescent="0.2">
      <c r="B223" s="200">
        <f t="shared" si="55"/>
        <v>1.291666666666667</v>
      </c>
      <c r="C223" s="200">
        <f t="shared" si="56"/>
        <v>1.3333333333333337</v>
      </c>
      <c r="D223" s="271">
        <f t="shared" si="53"/>
        <v>8</v>
      </c>
      <c r="E223" s="202" t="s">
        <v>340</v>
      </c>
      <c r="F223" s="203" t="s">
        <v>358</v>
      </c>
      <c r="G223" s="644"/>
      <c r="H223" s="644"/>
      <c r="I223" s="644"/>
      <c r="J223" s="644"/>
      <c r="K223" s="644"/>
      <c r="L223" s="644"/>
      <c r="M223" s="644"/>
      <c r="N223" s="644"/>
      <c r="O223" s="644"/>
      <c r="P223" s="644"/>
      <c r="Q223" s="644"/>
      <c r="R223" s="644"/>
      <c r="S223" s="644"/>
      <c r="T223" s="644"/>
      <c r="U223" s="644"/>
      <c r="V223" s="644"/>
      <c r="W223" s="644"/>
      <c r="X223" s="644"/>
      <c r="Y223" s="644"/>
      <c r="Z223" s="644"/>
      <c r="AA223" s="644"/>
      <c r="AB223" s="644"/>
      <c r="AC223" s="644"/>
      <c r="AD223" s="644"/>
      <c r="AE223" s="644"/>
      <c r="AF223" s="204">
        <f t="shared" si="57"/>
        <v>0</v>
      </c>
    </row>
    <row r="224" spans="2:32" x14ac:dyDescent="0.2">
      <c r="B224" s="200">
        <f t="shared" si="55"/>
        <v>1.3333333333333337</v>
      </c>
      <c r="C224" s="200">
        <f t="shared" si="56"/>
        <v>1.3750000000000004</v>
      </c>
      <c r="D224" s="271">
        <f t="shared" si="53"/>
        <v>9</v>
      </c>
      <c r="E224" s="202" t="s">
        <v>340</v>
      </c>
      <c r="F224" s="203" t="s">
        <v>358</v>
      </c>
      <c r="G224" s="644"/>
      <c r="H224" s="644"/>
      <c r="I224" s="644"/>
      <c r="J224" s="644"/>
      <c r="K224" s="644"/>
      <c r="L224" s="644"/>
      <c r="M224" s="644"/>
      <c r="N224" s="644"/>
      <c r="O224" s="644"/>
      <c r="P224" s="644"/>
      <c r="Q224" s="644"/>
      <c r="R224" s="644"/>
      <c r="S224" s="644"/>
      <c r="T224" s="644"/>
      <c r="U224" s="644"/>
      <c r="V224" s="644"/>
      <c r="W224" s="644"/>
      <c r="X224" s="644"/>
      <c r="Y224" s="644"/>
      <c r="Z224" s="644"/>
      <c r="AA224" s="644"/>
      <c r="AB224" s="644"/>
      <c r="AC224" s="644"/>
      <c r="AD224" s="644"/>
      <c r="AE224" s="644"/>
      <c r="AF224" s="204">
        <f t="shared" si="57"/>
        <v>0</v>
      </c>
    </row>
    <row r="225" spans="2:32" x14ac:dyDescent="0.2">
      <c r="B225" s="200">
        <f t="shared" si="55"/>
        <v>1.3750000000000004</v>
      </c>
      <c r="C225" s="200">
        <f t="shared" si="56"/>
        <v>1.4166666666666672</v>
      </c>
      <c r="D225" s="271">
        <f t="shared" si="53"/>
        <v>10</v>
      </c>
      <c r="E225" s="202" t="s">
        <v>340</v>
      </c>
      <c r="F225" s="203" t="s">
        <v>358</v>
      </c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  <c r="X225" s="644"/>
      <c r="Y225" s="644"/>
      <c r="Z225" s="644"/>
      <c r="AA225" s="644"/>
      <c r="AB225" s="644"/>
      <c r="AC225" s="644"/>
      <c r="AD225" s="644"/>
      <c r="AE225" s="644"/>
      <c r="AF225" s="204">
        <f t="shared" si="57"/>
        <v>0</v>
      </c>
    </row>
    <row r="226" spans="2:32" x14ac:dyDescent="0.2">
      <c r="B226" s="200">
        <f t="shared" si="55"/>
        <v>1.4166666666666672</v>
      </c>
      <c r="C226" s="200">
        <f t="shared" si="56"/>
        <v>1.4583333333333339</v>
      </c>
      <c r="D226" s="271">
        <f t="shared" si="53"/>
        <v>11</v>
      </c>
      <c r="E226" s="202" t="s">
        <v>340</v>
      </c>
      <c r="F226" s="203" t="s">
        <v>358</v>
      </c>
      <c r="G226" s="644"/>
      <c r="H226" s="644"/>
      <c r="I226" s="644"/>
      <c r="J226" s="644"/>
      <c r="K226" s="644"/>
      <c r="L226" s="644"/>
      <c r="M226" s="644"/>
      <c r="N226" s="644"/>
      <c r="O226" s="644"/>
      <c r="P226" s="644"/>
      <c r="Q226" s="644"/>
      <c r="R226" s="644"/>
      <c r="S226" s="644"/>
      <c r="T226" s="644"/>
      <c r="U226" s="644"/>
      <c r="V226" s="644"/>
      <c r="W226" s="644"/>
      <c r="X226" s="644"/>
      <c r="Y226" s="644"/>
      <c r="Z226" s="644"/>
      <c r="AA226" s="644"/>
      <c r="AB226" s="644"/>
      <c r="AC226" s="644"/>
      <c r="AD226" s="644"/>
      <c r="AE226" s="644"/>
      <c r="AF226" s="204">
        <f t="shared" si="57"/>
        <v>0</v>
      </c>
    </row>
    <row r="227" spans="2:32" x14ac:dyDescent="0.2">
      <c r="B227" s="200">
        <f t="shared" si="55"/>
        <v>1.4583333333333339</v>
      </c>
      <c r="C227" s="200">
        <f t="shared" si="56"/>
        <v>1.5000000000000007</v>
      </c>
      <c r="D227" s="271">
        <f t="shared" si="53"/>
        <v>12</v>
      </c>
      <c r="E227" s="202" t="s">
        <v>340</v>
      </c>
      <c r="F227" s="203" t="s">
        <v>358</v>
      </c>
      <c r="G227" s="644"/>
      <c r="H227" s="644"/>
      <c r="I227" s="644"/>
      <c r="J227" s="644"/>
      <c r="K227" s="644"/>
      <c r="L227" s="644"/>
      <c r="M227" s="644"/>
      <c r="N227" s="644"/>
      <c r="O227" s="644"/>
      <c r="P227" s="644"/>
      <c r="Q227" s="644"/>
      <c r="R227" s="644"/>
      <c r="S227" s="644"/>
      <c r="T227" s="644"/>
      <c r="U227" s="644"/>
      <c r="V227" s="644"/>
      <c r="W227" s="644"/>
      <c r="X227" s="644"/>
      <c r="Y227" s="644"/>
      <c r="Z227" s="644"/>
      <c r="AA227" s="644"/>
      <c r="AB227" s="644"/>
      <c r="AC227" s="644"/>
      <c r="AD227" s="644"/>
      <c r="AE227" s="644"/>
      <c r="AF227" s="204">
        <f t="shared" si="57"/>
        <v>0</v>
      </c>
    </row>
    <row r="228" spans="2:32" x14ac:dyDescent="0.2">
      <c r="B228" s="200">
        <f t="shared" si="55"/>
        <v>1.5000000000000007</v>
      </c>
      <c r="C228" s="200">
        <f t="shared" si="56"/>
        <v>1.5416666666666674</v>
      </c>
      <c r="D228" s="271">
        <f t="shared" si="53"/>
        <v>13</v>
      </c>
      <c r="E228" s="202" t="s">
        <v>340</v>
      </c>
      <c r="F228" s="203" t="s">
        <v>358</v>
      </c>
      <c r="G228" s="644"/>
      <c r="H228" s="644"/>
      <c r="I228" s="644"/>
      <c r="J228" s="644"/>
      <c r="K228" s="644"/>
      <c r="L228" s="644"/>
      <c r="M228" s="644"/>
      <c r="N228" s="644"/>
      <c r="O228" s="644"/>
      <c r="P228" s="644"/>
      <c r="Q228" s="644"/>
      <c r="R228" s="644"/>
      <c r="S228" s="644"/>
      <c r="T228" s="644"/>
      <c r="U228" s="644"/>
      <c r="V228" s="644"/>
      <c r="W228" s="644"/>
      <c r="X228" s="644"/>
      <c r="Y228" s="644"/>
      <c r="Z228" s="644"/>
      <c r="AA228" s="644"/>
      <c r="AB228" s="644"/>
      <c r="AC228" s="644"/>
      <c r="AD228" s="644"/>
      <c r="AE228" s="644"/>
      <c r="AF228" s="204">
        <f t="shared" si="57"/>
        <v>0</v>
      </c>
    </row>
    <row r="229" spans="2:32" x14ac:dyDescent="0.2">
      <c r="B229" s="200">
        <f t="shared" si="55"/>
        <v>1.5416666666666674</v>
      </c>
      <c r="C229" s="200">
        <f t="shared" si="56"/>
        <v>1.5833333333333341</v>
      </c>
      <c r="D229" s="271">
        <f t="shared" si="53"/>
        <v>14</v>
      </c>
      <c r="E229" s="202" t="s">
        <v>340</v>
      </c>
      <c r="F229" s="203" t="s">
        <v>358</v>
      </c>
      <c r="G229" s="644"/>
      <c r="H229" s="644"/>
      <c r="I229" s="644"/>
      <c r="J229" s="644"/>
      <c r="K229" s="644"/>
      <c r="L229" s="644"/>
      <c r="M229" s="644"/>
      <c r="N229" s="644"/>
      <c r="O229" s="644"/>
      <c r="P229" s="644"/>
      <c r="Q229" s="644"/>
      <c r="R229" s="644"/>
      <c r="S229" s="644"/>
      <c r="T229" s="644"/>
      <c r="U229" s="644"/>
      <c r="V229" s="644"/>
      <c r="W229" s="644"/>
      <c r="X229" s="644"/>
      <c r="Y229" s="644"/>
      <c r="Z229" s="644"/>
      <c r="AA229" s="644"/>
      <c r="AB229" s="644"/>
      <c r="AC229" s="644"/>
      <c r="AD229" s="644"/>
      <c r="AE229" s="644"/>
      <c r="AF229" s="204">
        <f t="shared" si="57"/>
        <v>0</v>
      </c>
    </row>
    <row r="230" spans="2:32" x14ac:dyDescent="0.2">
      <c r="B230" s="200">
        <f t="shared" si="55"/>
        <v>1.5833333333333341</v>
      </c>
      <c r="C230" s="200">
        <f t="shared" si="56"/>
        <v>1.6250000000000009</v>
      </c>
      <c r="D230" s="271">
        <f t="shared" si="53"/>
        <v>15</v>
      </c>
      <c r="E230" s="202" t="s">
        <v>340</v>
      </c>
      <c r="F230" s="203" t="s">
        <v>358</v>
      </c>
      <c r="G230" s="644"/>
      <c r="H230" s="644"/>
      <c r="I230" s="644"/>
      <c r="J230" s="644"/>
      <c r="K230" s="644"/>
      <c r="L230" s="644"/>
      <c r="M230" s="644"/>
      <c r="N230" s="644"/>
      <c r="O230" s="644"/>
      <c r="P230" s="644"/>
      <c r="Q230" s="644"/>
      <c r="R230" s="644"/>
      <c r="S230" s="644"/>
      <c r="T230" s="644"/>
      <c r="U230" s="644"/>
      <c r="V230" s="644"/>
      <c r="W230" s="644"/>
      <c r="X230" s="644"/>
      <c r="Y230" s="644"/>
      <c r="Z230" s="644"/>
      <c r="AA230" s="644"/>
      <c r="AB230" s="644"/>
      <c r="AC230" s="644"/>
      <c r="AD230" s="644"/>
      <c r="AE230" s="644"/>
      <c r="AF230" s="204">
        <f t="shared" si="57"/>
        <v>0</v>
      </c>
    </row>
    <row r="231" spans="2:32" x14ac:dyDescent="0.2">
      <c r="B231" s="200">
        <f t="shared" si="55"/>
        <v>1.6250000000000009</v>
      </c>
      <c r="C231" s="200">
        <f t="shared" si="56"/>
        <v>1.6666666666666676</v>
      </c>
      <c r="D231" s="271">
        <f t="shared" si="53"/>
        <v>16</v>
      </c>
      <c r="E231" s="202" t="s">
        <v>340</v>
      </c>
      <c r="F231" s="203" t="s">
        <v>358</v>
      </c>
      <c r="G231" s="644"/>
      <c r="H231" s="644"/>
      <c r="I231" s="644"/>
      <c r="J231" s="644"/>
      <c r="K231" s="644"/>
      <c r="L231" s="644"/>
      <c r="M231" s="644"/>
      <c r="N231" s="644"/>
      <c r="O231" s="644"/>
      <c r="P231" s="644"/>
      <c r="Q231" s="644"/>
      <c r="R231" s="644"/>
      <c r="S231" s="644"/>
      <c r="T231" s="644"/>
      <c r="U231" s="644"/>
      <c r="V231" s="644"/>
      <c r="W231" s="644"/>
      <c r="X231" s="644"/>
      <c r="Y231" s="644"/>
      <c r="Z231" s="644"/>
      <c r="AA231" s="644"/>
      <c r="AB231" s="644"/>
      <c r="AC231" s="644"/>
      <c r="AD231" s="644"/>
      <c r="AE231" s="644"/>
      <c r="AF231" s="204">
        <f t="shared" si="57"/>
        <v>0</v>
      </c>
    </row>
    <row r="232" spans="2:32" x14ac:dyDescent="0.2">
      <c r="B232" s="200">
        <f t="shared" si="55"/>
        <v>1.6666666666666676</v>
      </c>
      <c r="C232" s="200">
        <f t="shared" si="56"/>
        <v>1.7083333333333344</v>
      </c>
      <c r="D232" s="271">
        <f t="shared" si="53"/>
        <v>17</v>
      </c>
      <c r="E232" s="202" t="s">
        <v>340</v>
      </c>
      <c r="F232" s="203" t="s">
        <v>358</v>
      </c>
      <c r="G232" s="644"/>
      <c r="H232" s="644"/>
      <c r="I232" s="644"/>
      <c r="J232" s="644"/>
      <c r="K232" s="644"/>
      <c r="L232" s="644"/>
      <c r="M232" s="644"/>
      <c r="N232" s="644"/>
      <c r="O232" s="644"/>
      <c r="P232" s="644"/>
      <c r="Q232" s="644"/>
      <c r="R232" s="644"/>
      <c r="S232" s="644"/>
      <c r="T232" s="644"/>
      <c r="U232" s="644"/>
      <c r="V232" s="644"/>
      <c r="W232" s="644"/>
      <c r="X232" s="644"/>
      <c r="Y232" s="644"/>
      <c r="Z232" s="644"/>
      <c r="AA232" s="644"/>
      <c r="AB232" s="644"/>
      <c r="AC232" s="644"/>
      <c r="AD232" s="644"/>
      <c r="AE232" s="644"/>
      <c r="AF232" s="204">
        <f t="shared" si="57"/>
        <v>0</v>
      </c>
    </row>
    <row r="233" spans="2:32" x14ac:dyDescent="0.2">
      <c r="B233" s="200">
        <f t="shared" si="55"/>
        <v>1.7083333333333344</v>
      </c>
      <c r="C233" s="200">
        <f t="shared" si="56"/>
        <v>1.7500000000000011</v>
      </c>
      <c r="D233" s="271">
        <f t="shared" si="53"/>
        <v>18</v>
      </c>
      <c r="E233" s="202" t="s">
        <v>361</v>
      </c>
      <c r="F233" s="203" t="s">
        <v>358</v>
      </c>
      <c r="G233" s="644"/>
      <c r="H233" s="644"/>
      <c r="I233" s="644"/>
      <c r="J233" s="644"/>
      <c r="K233" s="644"/>
      <c r="L233" s="644"/>
      <c r="M233" s="644"/>
      <c r="N233" s="644"/>
      <c r="O233" s="644"/>
      <c r="P233" s="644"/>
      <c r="Q233" s="644"/>
      <c r="R233" s="644"/>
      <c r="S233" s="644"/>
      <c r="T233" s="644"/>
      <c r="U233" s="644"/>
      <c r="V233" s="644"/>
      <c r="W233" s="644"/>
      <c r="X233" s="644"/>
      <c r="Y233" s="644"/>
      <c r="Z233" s="644"/>
      <c r="AA233" s="644"/>
      <c r="AB233" s="644"/>
      <c r="AC233" s="644"/>
      <c r="AD233" s="644"/>
      <c r="AE233" s="644"/>
      <c r="AF233" s="204">
        <f t="shared" si="57"/>
        <v>0</v>
      </c>
    </row>
    <row r="234" spans="2:32" x14ac:dyDescent="0.2">
      <c r="B234" s="205"/>
      <c r="C234" s="205" t="s">
        <v>622</v>
      </c>
      <c r="D234" s="205"/>
      <c r="E234" s="205"/>
      <c r="F234" s="205" t="s">
        <v>356</v>
      </c>
      <c r="G234" s="206">
        <f t="shared" ref="G234:P234" si="58">MAX(G210:G212)</f>
        <v>0</v>
      </c>
      <c r="H234" s="206">
        <f t="shared" si="58"/>
        <v>0</v>
      </c>
      <c r="I234" s="206">
        <f t="shared" si="58"/>
        <v>0</v>
      </c>
      <c r="J234" s="206">
        <f t="shared" si="58"/>
        <v>0</v>
      </c>
      <c r="K234" s="206">
        <f t="shared" si="58"/>
        <v>0</v>
      </c>
      <c r="L234" s="206">
        <f t="shared" si="58"/>
        <v>0</v>
      </c>
      <c r="M234" s="206">
        <f t="shared" si="58"/>
        <v>0</v>
      </c>
      <c r="N234" s="206">
        <f t="shared" si="58"/>
        <v>0</v>
      </c>
      <c r="O234" s="206">
        <f t="shared" si="58"/>
        <v>0</v>
      </c>
      <c r="P234" s="206">
        <f t="shared" si="58"/>
        <v>0</v>
      </c>
      <c r="Q234" s="206">
        <f t="shared" ref="Q234:AF234" si="59">MAX(Q210:Q212)</f>
        <v>0</v>
      </c>
      <c r="R234" s="206">
        <f t="shared" si="59"/>
        <v>0</v>
      </c>
      <c r="S234" s="206">
        <f t="shared" si="59"/>
        <v>0</v>
      </c>
      <c r="T234" s="206">
        <f t="shared" si="59"/>
        <v>0</v>
      </c>
      <c r="U234" s="206">
        <f t="shared" si="59"/>
        <v>0</v>
      </c>
      <c r="V234" s="206">
        <f t="shared" si="59"/>
        <v>0</v>
      </c>
      <c r="W234" s="206">
        <f t="shared" si="59"/>
        <v>0</v>
      </c>
      <c r="X234" s="206">
        <f t="shared" si="59"/>
        <v>0</v>
      </c>
      <c r="Y234" s="206">
        <f t="shared" si="59"/>
        <v>0</v>
      </c>
      <c r="Z234" s="206">
        <f t="shared" si="59"/>
        <v>0</v>
      </c>
      <c r="AA234" s="206">
        <f t="shared" si="59"/>
        <v>0</v>
      </c>
      <c r="AB234" s="206">
        <f t="shared" si="59"/>
        <v>0</v>
      </c>
      <c r="AC234" s="206">
        <f t="shared" si="59"/>
        <v>0</v>
      </c>
      <c r="AD234" s="206">
        <f t="shared" si="59"/>
        <v>0</v>
      </c>
      <c r="AE234" s="206">
        <f t="shared" si="59"/>
        <v>0</v>
      </c>
      <c r="AF234" s="206">
        <f t="shared" si="59"/>
        <v>0</v>
      </c>
    </row>
    <row r="235" spans="2:32" x14ac:dyDescent="0.2">
      <c r="B235" s="205"/>
      <c r="C235" s="205" t="s">
        <v>622</v>
      </c>
      <c r="D235" s="205"/>
      <c r="E235" s="205"/>
      <c r="F235" s="205" t="s">
        <v>358</v>
      </c>
      <c r="G235" s="206">
        <f t="shared" ref="G235:P235" si="60">MAX(G213:G233)</f>
        <v>0</v>
      </c>
      <c r="H235" s="206">
        <f t="shared" si="60"/>
        <v>0</v>
      </c>
      <c r="I235" s="206">
        <f t="shared" si="60"/>
        <v>0</v>
      </c>
      <c r="J235" s="206">
        <f t="shared" si="60"/>
        <v>0</v>
      </c>
      <c r="K235" s="206">
        <f t="shared" si="60"/>
        <v>0</v>
      </c>
      <c r="L235" s="206">
        <f t="shared" si="60"/>
        <v>0</v>
      </c>
      <c r="M235" s="206">
        <f t="shared" si="60"/>
        <v>0</v>
      </c>
      <c r="N235" s="206">
        <f t="shared" si="60"/>
        <v>0</v>
      </c>
      <c r="O235" s="206">
        <f t="shared" si="60"/>
        <v>0</v>
      </c>
      <c r="P235" s="206">
        <f t="shared" si="60"/>
        <v>0</v>
      </c>
      <c r="Q235" s="206">
        <f t="shared" ref="Q235:AF235" si="61">MAX(Q213:Q233)</f>
        <v>0</v>
      </c>
      <c r="R235" s="206">
        <f t="shared" si="61"/>
        <v>0</v>
      </c>
      <c r="S235" s="206">
        <f t="shared" si="61"/>
        <v>0</v>
      </c>
      <c r="T235" s="206">
        <f t="shared" si="61"/>
        <v>0</v>
      </c>
      <c r="U235" s="206">
        <f t="shared" si="61"/>
        <v>0</v>
      </c>
      <c r="V235" s="206">
        <f t="shared" si="61"/>
        <v>0</v>
      </c>
      <c r="W235" s="206">
        <f t="shared" si="61"/>
        <v>0</v>
      </c>
      <c r="X235" s="206">
        <f t="shared" si="61"/>
        <v>0</v>
      </c>
      <c r="Y235" s="206">
        <f t="shared" si="61"/>
        <v>0</v>
      </c>
      <c r="Z235" s="206">
        <f t="shared" si="61"/>
        <v>0</v>
      </c>
      <c r="AA235" s="206">
        <f t="shared" si="61"/>
        <v>0</v>
      </c>
      <c r="AB235" s="206">
        <f t="shared" si="61"/>
        <v>0</v>
      </c>
      <c r="AC235" s="206">
        <f t="shared" si="61"/>
        <v>0</v>
      </c>
      <c r="AD235" s="206">
        <f t="shared" si="61"/>
        <v>0</v>
      </c>
      <c r="AE235" s="206">
        <f t="shared" si="61"/>
        <v>0</v>
      </c>
      <c r="AF235" s="206">
        <f t="shared" si="61"/>
        <v>0</v>
      </c>
    </row>
    <row r="236" spans="2:32" x14ac:dyDescent="0.2">
      <c r="B236" s="205"/>
      <c r="C236" s="205"/>
      <c r="D236" s="205"/>
      <c r="E236" s="205"/>
      <c r="F236" s="205" t="s">
        <v>710</v>
      </c>
      <c r="G236" s="645"/>
      <c r="H236" s="645"/>
      <c r="I236" s="645"/>
      <c r="J236" s="645"/>
      <c r="K236" s="645"/>
      <c r="L236" s="645"/>
      <c r="M236" s="645"/>
      <c r="N236" s="645"/>
      <c r="O236" s="645"/>
      <c r="P236" s="645"/>
      <c r="Q236" s="645"/>
      <c r="R236" s="645"/>
      <c r="S236" s="645"/>
      <c r="T236" s="645"/>
      <c r="U236" s="645"/>
      <c r="V236" s="645"/>
      <c r="W236" s="645"/>
      <c r="X236" s="645"/>
      <c r="Y236" s="645"/>
      <c r="Z236" s="645"/>
      <c r="AA236" s="645"/>
      <c r="AB236" s="645"/>
      <c r="AC236" s="645"/>
      <c r="AD236" s="645"/>
      <c r="AE236" s="645"/>
      <c r="AF236" s="270"/>
    </row>
    <row r="237" spans="2:32" x14ac:dyDescent="0.2">
      <c r="B237" s="205"/>
      <c r="C237" s="205"/>
      <c r="D237" s="205"/>
      <c r="E237" s="205"/>
      <c r="F237" s="205" t="s">
        <v>702</v>
      </c>
      <c r="G237" s="645"/>
      <c r="H237" s="645"/>
      <c r="I237" s="645"/>
      <c r="J237" s="645"/>
      <c r="K237" s="645"/>
      <c r="L237" s="645"/>
      <c r="M237" s="645"/>
      <c r="N237" s="645"/>
      <c r="O237" s="645"/>
      <c r="P237" s="645"/>
      <c r="Q237" s="645"/>
      <c r="R237" s="645"/>
      <c r="S237" s="645"/>
      <c r="T237" s="645"/>
      <c r="U237" s="645"/>
      <c r="V237" s="645"/>
      <c r="W237" s="645"/>
      <c r="X237" s="645"/>
      <c r="Y237" s="645"/>
      <c r="Z237" s="645"/>
      <c r="AA237" s="645"/>
      <c r="AB237" s="645"/>
      <c r="AC237" s="645"/>
      <c r="AD237" s="645"/>
      <c r="AE237" s="645"/>
      <c r="AF237" s="270"/>
    </row>
    <row r="238" spans="2:32" x14ac:dyDescent="0.2">
      <c r="B238" s="205"/>
      <c r="C238" s="205"/>
      <c r="D238" s="205"/>
      <c r="E238" s="205"/>
      <c r="F238" s="205" t="s">
        <v>711</v>
      </c>
      <c r="G238" s="645"/>
      <c r="H238" s="645"/>
      <c r="I238" s="645"/>
      <c r="J238" s="645"/>
      <c r="K238" s="645"/>
      <c r="L238" s="645"/>
      <c r="M238" s="645"/>
      <c r="N238" s="645"/>
      <c r="O238" s="645"/>
      <c r="P238" s="645"/>
      <c r="Q238" s="645"/>
      <c r="R238" s="645"/>
      <c r="S238" s="645"/>
      <c r="T238" s="645"/>
      <c r="U238" s="645"/>
      <c r="V238" s="645"/>
      <c r="W238" s="645"/>
      <c r="X238" s="645"/>
      <c r="Y238" s="645"/>
      <c r="Z238" s="645"/>
      <c r="AA238" s="645"/>
      <c r="AB238" s="645"/>
      <c r="AC238" s="645"/>
      <c r="AD238" s="645"/>
      <c r="AE238" s="645"/>
      <c r="AF238" s="270"/>
    </row>
    <row r="240" spans="2:32" x14ac:dyDescent="0.2">
      <c r="B240" s="803" t="s">
        <v>6</v>
      </c>
      <c r="C240" s="804"/>
      <c r="D240" s="800"/>
      <c r="E240" s="801"/>
      <c r="F240" s="802"/>
      <c r="G240" s="196" t="s">
        <v>6</v>
      </c>
      <c r="H240" s="196" t="s">
        <v>6</v>
      </c>
      <c r="I240" s="196" t="s">
        <v>6</v>
      </c>
      <c r="J240" s="196" t="s">
        <v>6</v>
      </c>
      <c r="K240" s="196" t="s">
        <v>6</v>
      </c>
      <c r="L240" s="196" t="s">
        <v>6</v>
      </c>
      <c r="M240" s="196" t="s">
        <v>6</v>
      </c>
      <c r="N240" s="196" t="s">
        <v>6</v>
      </c>
      <c r="O240" s="196" t="s">
        <v>6</v>
      </c>
      <c r="P240" s="196" t="s">
        <v>6</v>
      </c>
      <c r="Q240" s="196" t="s">
        <v>6</v>
      </c>
      <c r="R240" s="196" t="s">
        <v>6</v>
      </c>
      <c r="S240" s="196" t="s">
        <v>6</v>
      </c>
      <c r="T240" s="196" t="s">
        <v>6</v>
      </c>
      <c r="U240" s="196" t="s">
        <v>6</v>
      </c>
      <c r="V240" s="196" t="s">
        <v>6</v>
      </c>
      <c r="W240" s="196" t="s">
        <v>6</v>
      </c>
      <c r="X240" s="196" t="s">
        <v>6</v>
      </c>
      <c r="Y240" s="196" t="s">
        <v>6</v>
      </c>
      <c r="Z240" s="196" t="s">
        <v>6</v>
      </c>
      <c r="AA240" s="196" t="s">
        <v>6</v>
      </c>
      <c r="AB240" s="196" t="s">
        <v>6</v>
      </c>
      <c r="AC240" s="196" t="s">
        <v>6</v>
      </c>
      <c r="AD240" s="196" t="s">
        <v>6</v>
      </c>
      <c r="AE240" s="196" t="s">
        <v>6</v>
      </c>
      <c r="AF240" s="197"/>
    </row>
    <row r="241" spans="2:32" x14ac:dyDescent="0.2">
      <c r="B241" s="803"/>
      <c r="C241" s="804"/>
      <c r="D241" s="390"/>
      <c r="E241" s="391"/>
      <c r="F241" s="392"/>
      <c r="G241" s="196">
        <v>1</v>
      </c>
      <c r="H241" s="196">
        <v>2</v>
      </c>
      <c r="I241" s="196">
        <v>3</v>
      </c>
      <c r="J241" s="196">
        <v>4</v>
      </c>
      <c r="K241" s="196">
        <v>5</v>
      </c>
      <c r="L241" s="196">
        <v>6</v>
      </c>
      <c r="M241" s="196">
        <v>7</v>
      </c>
      <c r="N241" s="196">
        <v>8</v>
      </c>
      <c r="O241" s="196">
        <v>9</v>
      </c>
      <c r="P241" s="196">
        <v>10</v>
      </c>
      <c r="Q241" s="196">
        <v>11</v>
      </c>
      <c r="R241" s="196">
        <v>12</v>
      </c>
      <c r="S241" s="196">
        <v>13</v>
      </c>
      <c r="T241" s="196">
        <v>14</v>
      </c>
      <c r="U241" s="196">
        <v>15</v>
      </c>
      <c r="V241" s="196">
        <v>16</v>
      </c>
      <c r="W241" s="196">
        <v>17</v>
      </c>
      <c r="X241" s="196">
        <v>18</v>
      </c>
      <c r="Y241" s="196">
        <v>19</v>
      </c>
      <c r="Z241" s="196">
        <v>20</v>
      </c>
      <c r="AA241" s="196">
        <v>21</v>
      </c>
      <c r="AB241" s="196">
        <v>22</v>
      </c>
      <c r="AC241" s="196">
        <v>23</v>
      </c>
      <c r="AD241" s="196">
        <v>24</v>
      </c>
      <c r="AE241" s="196">
        <v>25</v>
      </c>
      <c r="AF241" s="197" t="s">
        <v>620</v>
      </c>
    </row>
    <row r="242" spans="2:32" x14ac:dyDescent="0.2">
      <c r="B242" s="803"/>
      <c r="C242" s="804"/>
      <c r="D242" s="800" t="s">
        <v>48</v>
      </c>
      <c r="E242" s="801"/>
      <c r="F242" s="802"/>
      <c r="G242" s="196" t="s">
        <v>656</v>
      </c>
      <c r="H242" s="196" t="s">
        <v>657</v>
      </c>
      <c r="I242" s="196" t="s">
        <v>658</v>
      </c>
      <c r="J242" s="196" t="s">
        <v>659</v>
      </c>
      <c r="K242" s="196" t="s">
        <v>660</v>
      </c>
      <c r="L242" s="196" t="s">
        <v>661</v>
      </c>
      <c r="M242" s="196" t="s">
        <v>662</v>
      </c>
      <c r="N242" s="196" t="s">
        <v>663</v>
      </c>
      <c r="O242" s="196" t="s">
        <v>664</v>
      </c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7"/>
    </row>
    <row r="243" spans="2:32" x14ac:dyDescent="0.2">
      <c r="B243" s="803" t="s">
        <v>47</v>
      </c>
      <c r="C243" s="804"/>
      <c r="D243" s="390"/>
      <c r="E243" s="391" t="s">
        <v>360</v>
      </c>
      <c r="F243" s="392"/>
      <c r="G243" s="198" t="s">
        <v>343</v>
      </c>
      <c r="H243" s="198" t="s">
        <v>343</v>
      </c>
      <c r="I243" s="198" t="s">
        <v>343</v>
      </c>
      <c r="J243" s="198" t="s">
        <v>343</v>
      </c>
      <c r="K243" s="198" t="s">
        <v>343</v>
      </c>
      <c r="L243" s="198" t="s">
        <v>343</v>
      </c>
      <c r="M243" s="198" t="s">
        <v>343</v>
      </c>
      <c r="N243" s="198" t="s">
        <v>343</v>
      </c>
      <c r="O243" s="198" t="s">
        <v>343</v>
      </c>
      <c r="P243" s="198" t="s">
        <v>343</v>
      </c>
      <c r="Q243" s="198" t="s">
        <v>343</v>
      </c>
      <c r="R243" s="198" t="s">
        <v>343</v>
      </c>
      <c r="S243" s="198" t="s">
        <v>343</v>
      </c>
      <c r="T243" s="198" t="s">
        <v>343</v>
      </c>
      <c r="U243" s="198" t="s">
        <v>343</v>
      </c>
      <c r="V243" s="198" t="s">
        <v>343</v>
      </c>
      <c r="W243" s="198" t="s">
        <v>343</v>
      </c>
      <c r="X243" s="198" t="s">
        <v>343</v>
      </c>
      <c r="Y243" s="198" t="s">
        <v>343</v>
      </c>
      <c r="Z243" s="198" t="s">
        <v>343</v>
      </c>
      <c r="AA243" s="198" t="s">
        <v>343</v>
      </c>
      <c r="AB243" s="198" t="s">
        <v>343</v>
      </c>
      <c r="AC243" s="198" t="s">
        <v>343</v>
      </c>
      <c r="AD243" s="198" t="s">
        <v>343</v>
      </c>
      <c r="AE243" s="198" t="s">
        <v>343</v>
      </c>
      <c r="AF243" s="199" t="s">
        <v>343</v>
      </c>
    </row>
    <row r="244" spans="2:32" x14ac:dyDescent="0.2">
      <c r="B244" s="200">
        <f>'DADOS-Campanha'!$J$23</f>
        <v>0.75</v>
      </c>
      <c r="C244" s="200">
        <f>B244+$C$1</f>
        <v>0.79166666666666663</v>
      </c>
      <c r="D244" s="271">
        <f t="shared" ref="D244:D267" si="62">HOUR(B244)+HOUR($C$1)</f>
        <v>19</v>
      </c>
      <c r="E244" s="202" t="s">
        <v>339</v>
      </c>
      <c r="F244" s="203" t="s">
        <v>356</v>
      </c>
      <c r="G244" s="644">
        <v>0.160685797711689</v>
      </c>
      <c r="H244" s="644">
        <v>1.2805986756398799</v>
      </c>
      <c r="I244" s="644">
        <v>0.353127151980136</v>
      </c>
      <c r="J244" s="644">
        <v>0.33841567712641901</v>
      </c>
      <c r="K244" s="644">
        <v>2.2971187092638502E-2</v>
      </c>
      <c r="L244" s="644">
        <v>0.10320884040762</v>
      </c>
      <c r="M244" s="644">
        <v>2.5066721915171002E-2</v>
      </c>
      <c r="N244" s="644">
        <v>7.4404378192660894E-2</v>
      </c>
      <c r="O244" s="644">
        <v>1.9432686680899001E-2</v>
      </c>
      <c r="P244" s="644"/>
      <c r="Q244" s="644"/>
      <c r="R244" s="644"/>
      <c r="S244" s="644"/>
      <c r="T244" s="644"/>
      <c r="U244" s="644"/>
      <c r="V244" s="644"/>
      <c r="W244" s="644"/>
      <c r="X244" s="644"/>
      <c r="Y244" s="644"/>
      <c r="Z244" s="644"/>
      <c r="AA244" s="644"/>
      <c r="AB244" s="644"/>
      <c r="AC244" s="644"/>
      <c r="AD244" s="644"/>
      <c r="AE244" s="644"/>
      <c r="AF244" s="204">
        <f t="shared" ref="AF244:AF253" si="63">SUM(G244:AE244)</f>
        <v>2.3779111167471134</v>
      </c>
    </row>
    <row r="245" spans="2:32" x14ac:dyDescent="0.2">
      <c r="B245" s="200">
        <f>C244</f>
        <v>0.79166666666666663</v>
      </c>
      <c r="C245" s="200">
        <f>B245+$C$1</f>
        <v>0.83333333333333326</v>
      </c>
      <c r="D245" s="271">
        <f t="shared" si="62"/>
        <v>20</v>
      </c>
      <c r="E245" s="202" t="s">
        <v>339</v>
      </c>
      <c r="F245" s="203" t="s">
        <v>356</v>
      </c>
      <c r="G245" s="644">
        <v>5.8078661765975502E-2</v>
      </c>
      <c r="H245" s="644">
        <v>1.2878988251379799</v>
      </c>
      <c r="I245" s="644">
        <v>0.30032342485020902</v>
      </c>
      <c r="J245" s="644">
        <v>0.262032621821564</v>
      </c>
      <c r="K245" s="644">
        <v>1.64079907804561E-2</v>
      </c>
      <c r="L245" s="644">
        <v>0.104597659627251</v>
      </c>
      <c r="M245" s="644">
        <v>2.6194185281656599E-2</v>
      </c>
      <c r="N245" s="644">
        <v>0.122931948525333</v>
      </c>
      <c r="O245" s="644">
        <v>1.8915131771709798E-2</v>
      </c>
      <c r="P245" s="644"/>
      <c r="Q245" s="644"/>
      <c r="R245" s="644"/>
      <c r="S245" s="644"/>
      <c r="T245" s="644"/>
      <c r="U245" s="644"/>
      <c r="V245" s="644"/>
      <c r="W245" s="644"/>
      <c r="X245" s="644"/>
      <c r="Y245" s="644"/>
      <c r="Z245" s="644"/>
      <c r="AA245" s="644"/>
      <c r="AB245" s="644"/>
      <c r="AC245" s="644"/>
      <c r="AD245" s="644"/>
      <c r="AE245" s="644"/>
      <c r="AF245" s="204">
        <f t="shared" si="63"/>
        <v>2.1973804495621345</v>
      </c>
    </row>
    <row r="246" spans="2:32" x14ac:dyDescent="0.2">
      <c r="B246" s="200">
        <f t="shared" ref="B246:B267" si="64">C245</f>
        <v>0.83333333333333326</v>
      </c>
      <c r="C246" s="200">
        <f t="shared" ref="C246:C267" si="65">B246+$C$1</f>
        <v>0.87499999999999989</v>
      </c>
      <c r="D246" s="271">
        <f t="shared" si="62"/>
        <v>21</v>
      </c>
      <c r="E246" s="202" t="s">
        <v>339</v>
      </c>
      <c r="F246" s="203" t="s">
        <v>356</v>
      </c>
      <c r="G246" s="644">
        <v>6.1172740027432899E-2</v>
      </c>
      <c r="H246" s="644">
        <v>1.1744286616961299</v>
      </c>
      <c r="I246" s="644">
        <v>0.26345326316731499</v>
      </c>
      <c r="J246" s="644">
        <v>0.18555166472371901</v>
      </c>
      <c r="K246" s="644">
        <v>3.3753581034081E-2</v>
      </c>
      <c r="L246" s="644">
        <v>0.10037283640115199</v>
      </c>
      <c r="M246" s="644">
        <v>2.8767895835505299E-2</v>
      </c>
      <c r="N246" s="644">
        <v>0.110731904180459</v>
      </c>
      <c r="O246" s="644">
        <v>1.1451839965285201E-2</v>
      </c>
      <c r="P246" s="644"/>
      <c r="Q246" s="644"/>
      <c r="R246" s="644"/>
      <c r="S246" s="644"/>
      <c r="T246" s="644"/>
      <c r="U246" s="644"/>
      <c r="V246" s="644"/>
      <c r="W246" s="644"/>
      <c r="X246" s="644"/>
      <c r="Y246" s="644"/>
      <c r="Z246" s="644"/>
      <c r="AA246" s="644"/>
      <c r="AB246" s="644"/>
      <c r="AC246" s="644"/>
      <c r="AD246" s="644"/>
      <c r="AE246" s="644"/>
      <c r="AF246" s="204">
        <f t="shared" si="63"/>
        <v>1.9696843870310794</v>
      </c>
    </row>
    <row r="247" spans="2:32" x14ac:dyDescent="0.2">
      <c r="B247" s="200">
        <f t="shared" si="64"/>
        <v>0.87499999999999989</v>
      </c>
      <c r="C247" s="200">
        <f t="shared" si="65"/>
        <v>0.91666666666666652</v>
      </c>
      <c r="D247" s="271">
        <f t="shared" si="62"/>
        <v>22</v>
      </c>
      <c r="E247" s="202" t="s">
        <v>361</v>
      </c>
      <c r="F247" s="203" t="s">
        <v>358</v>
      </c>
      <c r="G247" s="644">
        <v>1.7848359219122301</v>
      </c>
      <c r="H247" s="644">
        <v>1.12515312138374</v>
      </c>
      <c r="I247" s="644">
        <v>0.258358347630115</v>
      </c>
      <c r="J247" s="644">
        <v>0.16374438783308701</v>
      </c>
      <c r="K247" s="644">
        <v>0.110167938097348</v>
      </c>
      <c r="L247" s="644">
        <v>9.7887494597649699E-2</v>
      </c>
      <c r="M247" s="644">
        <v>2.9853167225698401E-2</v>
      </c>
      <c r="N247" s="644">
        <v>9.0644538667419797E-2</v>
      </c>
      <c r="O247" s="644">
        <v>1.1100240162846799E-2</v>
      </c>
      <c r="P247" s="644"/>
      <c r="Q247" s="644"/>
      <c r="R247" s="644"/>
      <c r="S247" s="644"/>
      <c r="T247" s="644"/>
      <c r="U247" s="644"/>
      <c r="V247" s="644"/>
      <c r="W247" s="644"/>
      <c r="X247" s="644"/>
      <c r="Y247" s="644"/>
      <c r="Z247" s="644"/>
      <c r="AA247" s="644"/>
      <c r="AB247" s="644"/>
      <c r="AC247" s="644"/>
      <c r="AD247" s="644"/>
      <c r="AE247" s="644"/>
      <c r="AF247" s="204">
        <f t="shared" si="63"/>
        <v>3.6717451575101343</v>
      </c>
    </row>
    <row r="248" spans="2:32" x14ac:dyDescent="0.2">
      <c r="B248" s="200">
        <f t="shared" si="64"/>
        <v>0.91666666666666652</v>
      </c>
      <c r="C248" s="200">
        <f t="shared" si="65"/>
        <v>0.95833333333333315</v>
      </c>
      <c r="D248" s="271">
        <f t="shared" si="62"/>
        <v>23</v>
      </c>
      <c r="E248" s="202" t="s">
        <v>340</v>
      </c>
      <c r="F248" s="203" t="s">
        <v>358</v>
      </c>
      <c r="G248" s="644">
        <v>2.13808589942336</v>
      </c>
      <c r="H248" s="644">
        <v>1.01178140588657</v>
      </c>
      <c r="I248" s="644">
        <v>0.25053032962862698</v>
      </c>
      <c r="J248" s="644">
        <v>0.15872702349231199</v>
      </c>
      <c r="K248" s="644">
        <v>0.110167938097348</v>
      </c>
      <c r="L248" s="644">
        <v>9.9279829815305504E-2</v>
      </c>
      <c r="M248" s="644">
        <v>2.9747687284966799E-2</v>
      </c>
      <c r="N248" s="644">
        <v>5.88639013247544E-2</v>
      </c>
      <c r="O248" s="644">
        <v>1.1233379288036799E-2</v>
      </c>
      <c r="P248" s="644"/>
      <c r="Q248" s="644"/>
      <c r="R248" s="644"/>
      <c r="S248" s="644"/>
      <c r="T248" s="644"/>
      <c r="U248" s="644"/>
      <c r="V248" s="644"/>
      <c r="W248" s="644"/>
      <c r="X248" s="644"/>
      <c r="Y248" s="644"/>
      <c r="Z248" s="644"/>
      <c r="AA248" s="644"/>
      <c r="AB248" s="644"/>
      <c r="AC248" s="644"/>
      <c r="AD248" s="644"/>
      <c r="AE248" s="644"/>
      <c r="AF248" s="204">
        <f t="shared" si="63"/>
        <v>3.8684173942412801</v>
      </c>
    </row>
    <row r="249" spans="2:32" x14ac:dyDescent="0.2">
      <c r="B249" s="200">
        <f t="shared" si="64"/>
        <v>0.95833333333333315</v>
      </c>
      <c r="C249" s="200">
        <f t="shared" si="65"/>
        <v>0.99999999999999978</v>
      </c>
      <c r="D249" s="271">
        <f t="shared" si="62"/>
        <v>24</v>
      </c>
      <c r="E249" s="202" t="s">
        <v>340</v>
      </c>
      <c r="F249" s="203" t="s">
        <v>358</v>
      </c>
      <c r="G249" s="644">
        <v>1.88387549186254</v>
      </c>
      <c r="H249" s="644">
        <v>0.84580473434778802</v>
      </c>
      <c r="I249" s="644">
        <v>0.25882620976722598</v>
      </c>
      <c r="J249" s="644">
        <v>0.15134156650615199</v>
      </c>
      <c r="K249" s="644">
        <v>0.109230338624179</v>
      </c>
      <c r="L249" s="644">
        <v>9.7362438892675096E-2</v>
      </c>
      <c r="M249" s="644">
        <v>2.7609960486141699E-2</v>
      </c>
      <c r="N249" s="644">
        <v>4.50692346758884E-2</v>
      </c>
      <c r="O249" s="644">
        <v>1.0305155809599601E-2</v>
      </c>
      <c r="P249" s="644"/>
      <c r="Q249" s="644"/>
      <c r="R249" s="644"/>
      <c r="S249" s="644"/>
      <c r="T249" s="644"/>
      <c r="U249" s="644"/>
      <c r="V249" s="644"/>
      <c r="W249" s="644"/>
      <c r="X249" s="644"/>
      <c r="Y249" s="644"/>
      <c r="Z249" s="644"/>
      <c r="AA249" s="644"/>
      <c r="AB249" s="644"/>
      <c r="AC249" s="644"/>
      <c r="AD249" s="644"/>
      <c r="AE249" s="644"/>
      <c r="AF249" s="204">
        <f t="shared" si="63"/>
        <v>3.4294251309721897</v>
      </c>
    </row>
    <row r="250" spans="2:32" x14ac:dyDescent="0.2">
      <c r="B250" s="200">
        <f t="shared" si="64"/>
        <v>0.99999999999999978</v>
      </c>
      <c r="C250" s="200">
        <f t="shared" si="65"/>
        <v>1.0416666666666665</v>
      </c>
      <c r="D250" s="271">
        <f t="shared" si="62"/>
        <v>1</v>
      </c>
      <c r="E250" s="202" t="s">
        <v>340</v>
      </c>
      <c r="F250" s="203" t="s">
        <v>358</v>
      </c>
      <c r="G250" s="644">
        <v>2.2535794025282998</v>
      </c>
      <c r="H250" s="644">
        <v>0.59162620516905995</v>
      </c>
      <c r="I250" s="644">
        <v>0.12698097185021301</v>
      </c>
      <c r="J250" s="644">
        <v>2.6885024981478298E-2</v>
      </c>
      <c r="K250" s="644">
        <v>9.5635146263229595E-2</v>
      </c>
      <c r="L250" s="644">
        <v>9.4512605293978202E-2</v>
      </c>
      <c r="M250" s="644">
        <v>2.24297233968834E-2</v>
      </c>
      <c r="N250" s="644">
        <v>2.72471094900253E-2</v>
      </c>
      <c r="O250" s="644">
        <v>7.8008276167653998E-3</v>
      </c>
      <c r="P250" s="644"/>
      <c r="Q250" s="644"/>
      <c r="R250" s="644"/>
      <c r="S250" s="644"/>
      <c r="T250" s="644"/>
      <c r="U250" s="644"/>
      <c r="V250" s="644"/>
      <c r="W250" s="644"/>
      <c r="X250" s="644"/>
      <c r="Y250" s="644"/>
      <c r="Z250" s="644"/>
      <c r="AA250" s="644"/>
      <c r="AB250" s="644"/>
      <c r="AC250" s="644"/>
      <c r="AD250" s="644"/>
      <c r="AE250" s="644"/>
      <c r="AF250" s="204">
        <f t="shared" si="63"/>
        <v>3.2466970165899331</v>
      </c>
    </row>
    <row r="251" spans="2:32" x14ac:dyDescent="0.2">
      <c r="B251" s="200">
        <f t="shared" si="64"/>
        <v>1.0416666666666665</v>
      </c>
      <c r="C251" s="200">
        <f t="shared" si="65"/>
        <v>1.0833333333333333</v>
      </c>
      <c r="D251" s="271">
        <f t="shared" si="62"/>
        <v>2</v>
      </c>
      <c r="E251" s="202" t="s">
        <v>340</v>
      </c>
      <c r="F251" s="203" t="s">
        <v>358</v>
      </c>
      <c r="G251" s="644">
        <v>1.95552309320422</v>
      </c>
      <c r="H251" s="644">
        <v>0.55359623293785598</v>
      </c>
      <c r="I251" s="644">
        <v>0.13109890873637101</v>
      </c>
      <c r="J251" s="644">
        <v>2.7239592286249201E-2</v>
      </c>
      <c r="K251" s="644">
        <v>0.112980736516855</v>
      </c>
      <c r="L251" s="644">
        <v>9.6622204108608195E-2</v>
      </c>
      <c r="M251" s="644">
        <v>2.1979675649762401E-2</v>
      </c>
      <c r="N251" s="644">
        <v>2.6314432414090601E-2</v>
      </c>
      <c r="O251" s="644">
        <v>7.5917429342487299E-3</v>
      </c>
      <c r="P251" s="644"/>
      <c r="Q251" s="644"/>
      <c r="R251" s="644"/>
      <c r="S251" s="644"/>
      <c r="T251" s="644"/>
      <c r="U251" s="644"/>
      <c r="V251" s="644"/>
      <c r="W251" s="644"/>
      <c r="X251" s="644"/>
      <c r="Y251" s="644"/>
      <c r="Z251" s="644"/>
      <c r="AA251" s="644"/>
      <c r="AB251" s="644"/>
      <c r="AC251" s="644"/>
      <c r="AD251" s="644"/>
      <c r="AE251" s="644"/>
      <c r="AF251" s="204">
        <f t="shared" si="63"/>
        <v>2.9329466187882614</v>
      </c>
    </row>
    <row r="252" spans="2:32" x14ac:dyDescent="0.2">
      <c r="B252" s="200">
        <f t="shared" si="64"/>
        <v>1.0833333333333333</v>
      </c>
      <c r="C252" s="200">
        <f t="shared" si="65"/>
        <v>1.125</v>
      </c>
      <c r="D252" s="271">
        <f t="shared" si="62"/>
        <v>3</v>
      </c>
      <c r="E252" s="202" t="s">
        <v>340</v>
      </c>
      <c r="F252" s="203" t="s">
        <v>358</v>
      </c>
      <c r="G252" s="644">
        <v>1.9348387112266401</v>
      </c>
      <c r="H252" s="644">
        <v>0.53785956338018903</v>
      </c>
      <c r="I252" s="644">
        <v>0.123547482579468</v>
      </c>
      <c r="J252" s="644">
        <v>3.0054197928740499E-2</v>
      </c>
      <c r="K252" s="644">
        <v>0.10407354152175</v>
      </c>
      <c r="L252" s="644">
        <v>9.2094067452938994E-2</v>
      </c>
      <c r="M252" s="644">
        <v>2.1440555952690201E-2</v>
      </c>
      <c r="N252" s="644">
        <v>2.674549377188E-2</v>
      </c>
      <c r="O252" s="644">
        <v>7.5889301358292201E-3</v>
      </c>
      <c r="P252" s="644"/>
      <c r="Q252" s="644"/>
      <c r="R252" s="644"/>
      <c r="S252" s="644"/>
      <c r="T252" s="644"/>
      <c r="U252" s="644"/>
      <c r="V252" s="644"/>
      <c r="W252" s="644"/>
      <c r="X252" s="644"/>
      <c r="Y252" s="644"/>
      <c r="Z252" s="644"/>
      <c r="AA252" s="644"/>
      <c r="AB252" s="644"/>
      <c r="AC252" s="644"/>
      <c r="AD252" s="644"/>
      <c r="AE252" s="644"/>
      <c r="AF252" s="204">
        <f t="shared" si="63"/>
        <v>2.878242543950126</v>
      </c>
    </row>
    <row r="253" spans="2:32" x14ac:dyDescent="0.2">
      <c r="B253" s="200">
        <f t="shared" si="64"/>
        <v>1.125</v>
      </c>
      <c r="C253" s="200">
        <f t="shared" si="65"/>
        <v>1.1666666666666667</v>
      </c>
      <c r="D253" s="271">
        <f t="shared" si="62"/>
        <v>4</v>
      </c>
      <c r="E253" s="202" t="s">
        <v>340</v>
      </c>
      <c r="F253" s="203" t="s">
        <v>358</v>
      </c>
      <c r="G253" s="644">
        <v>1.8546973962575299</v>
      </c>
      <c r="H253" s="644">
        <v>0.53748358599144797</v>
      </c>
      <c r="I253" s="644">
        <v>0.122012632241891</v>
      </c>
      <c r="J253" s="644">
        <v>2.93296655918505E-2</v>
      </c>
      <c r="K253" s="644">
        <v>0.10313594204858099</v>
      </c>
      <c r="L253" s="644">
        <v>9.4023647168720595E-2</v>
      </c>
      <c r="M253" s="644">
        <v>2.1754651776201801E-2</v>
      </c>
      <c r="N253" s="644">
        <v>2.7367591022327602E-2</v>
      </c>
      <c r="O253" s="644">
        <v>6.4731867627582096E-3</v>
      </c>
      <c r="P253" s="644"/>
      <c r="Q253" s="644"/>
      <c r="R253" s="644"/>
      <c r="S253" s="644"/>
      <c r="T253" s="644"/>
      <c r="U253" s="644"/>
      <c r="V253" s="644"/>
      <c r="W253" s="644"/>
      <c r="X253" s="644"/>
      <c r="Y253" s="644"/>
      <c r="Z253" s="644"/>
      <c r="AA253" s="644"/>
      <c r="AB253" s="644"/>
      <c r="AC253" s="644"/>
      <c r="AD253" s="644"/>
      <c r="AE253" s="644"/>
      <c r="AF253" s="204">
        <f t="shared" si="63"/>
        <v>2.7962782988613091</v>
      </c>
    </row>
    <row r="254" spans="2:32" x14ac:dyDescent="0.2">
      <c r="B254" s="200">
        <f t="shared" si="64"/>
        <v>1.1666666666666667</v>
      </c>
      <c r="C254" s="200">
        <f t="shared" si="65"/>
        <v>1.2083333333333335</v>
      </c>
      <c r="D254" s="271">
        <f t="shared" si="62"/>
        <v>5</v>
      </c>
      <c r="E254" s="202" t="s">
        <v>340</v>
      </c>
      <c r="F254" s="203" t="s">
        <v>358</v>
      </c>
      <c r="G254" s="644">
        <v>1.87719134521832</v>
      </c>
      <c r="H254" s="644">
        <v>0.53749296198618002</v>
      </c>
      <c r="I254" s="644">
        <v>0.14357835772424901</v>
      </c>
      <c r="J254" s="644">
        <v>3.7131526912035098E-2</v>
      </c>
      <c r="K254" s="644">
        <v>0.10313594204858099</v>
      </c>
      <c r="L254" s="644">
        <v>9.3773308109384501E-2</v>
      </c>
      <c r="M254" s="644">
        <v>2.2108595577323101E-2</v>
      </c>
      <c r="N254" s="644">
        <v>2.7634338072444101E-2</v>
      </c>
      <c r="O254" s="644">
        <v>7.6564372978973798E-3</v>
      </c>
      <c r="P254" s="644"/>
      <c r="Q254" s="644"/>
      <c r="R254" s="644"/>
      <c r="S254" s="644"/>
      <c r="T254" s="644"/>
      <c r="U254" s="644"/>
      <c r="V254" s="644"/>
      <c r="W254" s="644"/>
      <c r="X254" s="644"/>
      <c r="Y254" s="644"/>
      <c r="Z254" s="644"/>
      <c r="AA254" s="644"/>
      <c r="AB254" s="644"/>
      <c r="AC254" s="644"/>
      <c r="AD254" s="644"/>
      <c r="AE254" s="644"/>
      <c r="AF254" s="204">
        <f t="shared" ref="AF254:AF267" si="66">SUM(G254:AE254)</f>
        <v>2.8497028129464139</v>
      </c>
    </row>
    <row r="255" spans="2:32" x14ac:dyDescent="0.2">
      <c r="B255" s="200">
        <f t="shared" si="64"/>
        <v>1.2083333333333335</v>
      </c>
      <c r="C255" s="200">
        <f t="shared" si="65"/>
        <v>1.2500000000000002</v>
      </c>
      <c r="D255" s="271">
        <f t="shared" si="62"/>
        <v>6</v>
      </c>
      <c r="E255" s="202" t="s">
        <v>340</v>
      </c>
      <c r="F255" s="203" t="s">
        <v>358</v>
      </c>
      <c r="G255" s="644">
        <v>2.0604160966655201</v>
      </c>
      <c r="H255" s="644">
        <v>0.591575574797509</v>
      </c>
      <c r="I255" s="644">
        <v>0.217374937058428</v>
      </c>
      <c r="J255" s="644">
        <v>8.4812255056542205E-2</v>
      </c>
      <c r="K255" s="644">
        <v>0.103604741785165</v>
      </c>
      <c r="L255" s="644">
        <v>9.3476089076389907E-2</v>
      </c>
      <c r="M255" s="644">
        <v>2.5814457495023199E-2</v>
      </c>
      <c r="N255" s="644">
        <v>2.51778274527415E-2</v>
      </c>
      <c r="O255" s="644">
        <v>7.5879925363560499E-3</v>
      </c>
      <c r="P255" s="644"/>
      <c r="Q255" s="644"/>
      <c r="R255" s="644"/>
      <c r="S255" s="644"/>
      <c r="T255" s="644"/>
      <c r="U255" s="644"/>
      <c r="V255" s="644"/>
      <c r="W255" s="644"/>
      <c r="X255" s="644"/>
      <c r="Y255" s="644"/>
      <c r="Z255" s="644"/>
      <c r="AA255" s="644"/>
      <c r="AB255" s="644"/>
      <c r="AC255" s="644"/>
      <c r="AD255" s="644"/>
      <c r="AE255" s="644"/>
      <c r="AF255" s="204">
        <f t="shared" si="66"/>
        <v>3.209839971923675</v>
      </c>
    </row>
    <row r="256" spans="2:32" x14ac:dyDescent="0.2">
      <c r="B256" s="200">
        <f t="shared" si="64"/>
        <v>1.2500000000000002</v>
      </c>
      <c r="C256" s="200">
        <f t="shared" si="65"/>
        <v>1.291666666666667</v>
      </c>
      <c r="D256" s="271">
        <f t="shared" si="62"/>
        <v>7</v>
      </c>
      <c r="E256" s="202" t="s">
        <v>340</v>
      </c>
      <c r="F256" s="203" t="s">
        <v>358</v>
      </c>
      <c r="G256" s="644">
        <v>2.2945206211236999</v>
      </c>
      <c r="H256" s="644">
        <v>0.77837164263800696</v>
      </c>
      <c r="I256" s="644">
        <v>0.26918012074942999</v>
      </c>
      <c r="J256" s="644">
        <v>0.108689559376039</v>
      </c>
      <c r="K256" s="644">
        <v>0.131732725980233</v>
      </c>
      <c r="L256" s="644">
        <v>9.4197337471125103E-2</v>
      </c>
      <c r="M256" s="644">
        <v>2.49893699586346E-2</v>
      </c>
      <c r="N256" s="644">
        <v>2.68336281223579E-2</v>
      </c>
      <c r="O256" s="644">
        <v>7.7145684652338599E-3</v>
      </c>
      <c r="P256" s="644"/>
      <c r="Q256" s="644"/>
      <c r="R256" s="644"/>
      <c r="S256" s="644"/>
      <c r="T256" s="644"/>
      <c r="U256" s="644"/>
      <c r="V256" s="644"/>
      <c r="W256" s="644"/>
      <c r="X256" s="644"/>
      <c r="Y256" s="644"/>
      <c r="Z256" s="644"/>
      <c r="AA256" s="644"/>
      <c r="AB256" s="644"/>
      <c r="AC256" s="644"/>
      <c r="AD256" s="644"/>
      <c r="AE256" s="644"/>
      <c r="AF256" s="204">
        <f t="shared" si="66"/>
        <v>3.7362295738847608</v>
      </c>
    </row>
    <row r="257" spans="2:32" x14ac:dyDescent="0.2">
      <c r="B257" s="200">
        <f t="shared" si="64"/>
        <v>1.291666666666667</v>
      </c>
      <c r="C257" s="200">
        <f t="shared" si="65"/>
        <v>1.3333333333333337</v>
      </c>
      <c r="D257" s="271">
        <f t="shared" si="62"/>
        <v>8</v>
      </c>
      <c r="E257" s="202" t="s">
        <v>340</v>
      </c>
      <c r="F257" s="203" t="s">
        <v>358</v>
      </c>
      <c r="G257" s="644">
        <v>2.58745576212534</v>
      </c>
      <c r="H257" s="644">
        <v>1.16042467596488</v>
      </c>
      <c r="I257" s="644">
        <v>0.61971481018625496</v>
      </c>
      <c r="J257" s="644">
        <v>0.14857702164353201</v>
      </c>
      <c r="K257" s="644">
        <v>0.14298391965825999</v>
      </c>
      <c r="L257" s="644">
        <v>9.72607093498363E-2</v>
      </c>
      <c r="M257" s="644">
        <v>3.7665714835878397E-2</v>
      </c>
      <c r="N257" s="644">
        <v>5.9142602768153897E-2</v>
      </c>
      <c r="O257" s="644">
        <v>1.02610886343606E-2</v>
      </c>
      <c r="P257" s="644"/>
      <c r="Q257" s="644"/>
      <c r="R257" s="644"/>
      <c r="S257" s="644"/>
      <c r="T257" s="644"/>
      <c r="U257" s="644"/>
      <c r="V257" s="644"/>
      <c r="W257" s="644"/>
      <c r="X257" s="644"/>
      <c r="Y257" s="644"/>
      <c r="Z257" s="644"/>
      <c r="AA257" s="644"/>
      <c r="AB257" s="644"/>
      <c r="AC257" s="644"/>
      <c r="AD257" s="644"/>
      <c r="AE257" s="644"/>
      <c r="AF257" s="204">
        <f t="shared" si="66"/>
        <v>4.8634863051664956</v>
      </c>
    </row>
    <row r="258" spans="2:32" x14ac:dyDescent="0.2">
      <c r="B258" s="200">
        <f t="shared" si="64"/>
        <v>1.3333333333333337</v>
      </c>
      <c r="C258" s="200">
        <f t="shared" si="65"/>
        <v>1.3750000000000004</v>
      </c>
      <c r="D258" s="271">
        <f t="shared" si="62"/>
        <v>9</v>
      </c>
      <c r="E258" s="202" t="s">
        <v>340</v>
      </c>
      <c r="F258" s="203" t="s">
        <v>358</v>
      </c>
      <c r="G258" s="644">
        <v>2.5366388082790499</v>
      </c>
      <c r="H258" s="644">
        <v>1.4589357210334499</v>
      </c>
      <c r="I258" s="644">
        <v>1.06768483687479</v>
      </c>
      <c r="J258" s="644">
        <v>0.22466959456760699</v>
      </c>
      <c r="K258" s="644">
        <v>0.28737423852627297</v>
      </c>
      <c r="L258" s="644">
        <v>0.10124199111278</v>
      </c>
      <c r="M258" s="644">
        <v>7.7373052524582001E-2</v>
      </c>
      <c r="N258" s="644">
        <v>7.6519368204261695E-2</v>
      </c>
      <c r="O258" s="644">
        <v>9.3825579280013595E-3</v>
      </c>
      <c r="P258" s="644"/>
      <c r="Q258" s="644"/>
      <c r="R258" s="644"/>
      <c r="S258" s="644"/>
      <c r="T258" s="644"/>
      <c r="U258" s="644"/>
      <c r="V258" s="644"/>
      <c r="W258" s="644"/>
      <c r="X258" s="644"/>
      <c r="Y258" s="644"/>
      <c r="Z258" s="644"/>
      <c r="AA258" s="644"/>
      <c r="AB258" s="644"/>
      <c r="AC258" s="644"/>
      <c r="AD258" s="644"/>
      <c r="AE258" s="644"/>
      <c r="AF258" s="204">
        <f t="shared" si="66"/>
        <v>5.8398201690507952</v>
      </c>
    </row>
    <row r="259" spans="2:32" x14ac:dyDescent="0.2">
      <c r="B259" s="200">
        <f t="shared" si="64"/>
        <v>1.3750000000000004</v>
      </c>
      <c r="C259" s="200">
        <f t="shared" si="65"/>
        <v>1.4166666666666672</v>
      </c>
      <c r="D259" s="271">
        <f t="shared" si="62"/>
        <v>10</v>
      </c>
      <c r="E259" s="202" t="s">
        <v>340</v>
      </c>
      <c r="F259" s="203" t="s">
        <v>358</v>
      </c>
      <c r="G259" s="644">
        <v>2.6297986919331202</v>
      </c>
      <c r="H259" s="644">
        <v>1.3308577577996299</v>
      </c>
      <c r="I259" s="644">
        <v>1.2046943726900201</v>
      </c>
      <c r="J259" s="644">
        <v>0.25926392104927898</v>
      </c>
      <c r="K259" s="644">
        <v>0.25924625433120602</v>
      </c>
      <c r="L259" s="644">
        <v>9.9597441636841505E-2</v>
      </c>
      <c r="M259" s="644">
        <v>7.6011189289804104E-2</v>
      </c>
      <c r="N259" s="644">
        <v>8.5071681798772003E-2</v>
      </c>
      <c r="O259" s="644">
        <v>8.7328014930953008E-3</v>
      </c>
      <c r="P259" s="644"/>
      <c r="Q259" s="644"/>
      <c r="R259" s="644"/>
      <c r="S259" s="644"/>
      <c r="T259" s="644"/>
      <c r="U259" s="644"/>
      <c r="V259" s="644"/>
      <c r="W259" s="644"/>
      <c r="X259" s="644"/>
      <c r="Y259" s="644"/>
      <c r="Z259" s="644"/>
      <c r="AA259" s="644"/>
      <c r="AB259" s="644"/>
      <c r="AC259" s="644"/>
      <c r="AD259" s="644"/>
      <c r="AE259" s="644"/>
      <c r="AF259" s="204">
        <f t="shared" si="66"/>
        <v>5.9532741120217683</v>
      </c>
    </row>
    <row r="260" spans="2:32" x14ac:dyDescent="0.2">
      <c r="B260" s="200">
        <f t="shared" si="64"/>
        <v>1.4166666666666672</v>
      </c>
      <c r="C260" s="200">
        <f t="shared" si="65"/>
        <v>1.4583333333333339</v>
      </c>
      <c r="D260" s="271">
        <f t="shared" si="62"/>
        <v>11</v>
      </c>
      <c r="E260" s="202" t="s">
        <v>340</v>
      </c>
      <c r="F260" s="203" t="s">
        <v>358</v>
      </c>
      <c r="G260" s="644">
        <v>2.62255011040605</v>
      </c>
      <c r="H260" s="644">
        <v>1.4000976036942101</v>
      </c>
      <c r="I260" s="644">
        <v>1.2611866161473899</v>
      </c>
      <c r="J260" s="644">
        <v>0.36418425787921999</v>
      </c>
      <c r="K260" s="644">
        <v>0.19455189068255099</v>
      </c>
      <c r="L260" s="644">
        <v>0.10297959733643</v>
      </c>
      <c r="M260" s="644">
        <v>7.7773876299361694E-2</v>
      </c>
      <c r="N260" s="644">
        <v>8.1920644369319506E-2</v>
      </c>
      <c r="O260" s="644">
        <v>8.6606063336612995E-3</v>
      </c>
      <c r="P260" s="644"/>
      <c r="Q260" s="644"/>
      <c r="R260" s="644"/>
      <c r="S260" s="644"/>
      <c r="T260" s="644"/>
      <c r="U260" s="644"/>
      <c r="V260" s="644"/>
      <c r="W260" s="644"/>
      <c r="X260" s="644"/>
      <c r="Y260" s="644"/>
      <c r="Z260" s="644"/>
      <c r="AA260" s="644"/>
      <c r="AB260" s="644"/>
      <c r="AC260" s="644"/>
      <c r="AD260" s="644"/>
      <c r="AE260" s="644"/>
      <c r="AF260" s="204">
        <f t="shared" si="66"/>
        <v>6.1139052031481942</v>
      </c>
    </row>
    <row r="261" spans="2:32" x14ac:dyDescent="0.2">
      <c r="B261" s="200">
        <f t="shared" si="64"/>
        <v>1.4583333333333339</v>
      </c>
      <c r="C261" s="200">
        <f t="shared" si="65"/>
        <v>1.5000000000000007</v>
      </c>
      <c r="D261" s="271">
        <f t="shared" si="62"/>
        <v>12</v>
      </c>
      <c r="E261" s="202" t="s">
        <v>340</v>
      </c>
      <c r="F261" s="203" t="s">
        <v>358</v>
      </c>
      <c r="G261" s="644">
        <v>2.5900566630639101</v>
      </c>
      <c r="H261" s="644">
        <v>1.36556393989845</v>
      </c>
      <c r="I261" s="644">
        <v>1.02543472941486</v>
      </c>
      <c r="J261" s="644">
        <v>0.38031639048667898</v>
      </c>
      <c r="K261" s="644">
        <v>0.195020690419135</v>
      </c>
      <c r="L261" s="644">
        <v>0.105151312116158</v>
      </c>
      <c r="M261" s="644">
        <v>8.1074226444916297E-2</v>
      </c>
      <c r="N261" s="644">
        <v>8.0019895837337901E-2</v>
      </c>
      <c r="O261" s="644">
        <v>1.03970405579701E-2</v>
      </c>
      <c r="P261" s="644"/>
      <c r="Q261" s="644"/>
      <c r="R261" s="644"/>
      <c r="S261" s="644"/>
      <c r="T261" s="644"/>
      <c r="U261" s="644"/>
      <c r="V261" s="644"/>
      <c r="W261" s="644"/>
      <c r="X261" s="644"/>
      <c r="Y261" s="644"/>
      <c r="Z261" s="644"/>
      <c r="AA261" s="644"/>
      <c r="AB261" s="644"/>
      <c r="AC261" s="644"/>
      <c r="AD261" s="644"/>
      <c r="AE261" s="644"/>
      <c r="AF261" s="204">
        <f t="shared" si="66"/>
        <v>5.8330348882394167</v>
      </c>
    </row>
    <row r="262" spans="2:32" x14ac:dyDescent="0.2">
      <c r="B262" s="200">
        <f t="shared" si="64"/>
        <v>1.5000000000000007</v>
      </c>
      <c r="C262" s="200">
        <f t="shared" si="65"/>
        <v>1.5416666666666674</v>
      </c>
      <c r="D262" s="271">
        <f t="shared" si="62"/>
        <v>13</v>
      </c>
      <c r="E262" s="202" t="s">
        <v>340</v>
      </c>
      <c r="F262" s="203" t="s">
        <v>358</v>
      </c>
      <c r="G262" s="644">
        <v>2.5095590602949902</v>
      </c>
      <c r="H262" s="644">
        <v>1.2194278108114001</v>
      </c>
      <c r="I262" s="644">
        <v>0.55791294091232502</v>
      </c>
      <c r="J262" s="644">
        <v>0.40350942064666601</v>
      </c>
      <c r="K262" s="644">
        <v>0.16876790517040499</v>
      </c>
      <c r="L262" s="644">
        <v>0.103636620167253</v>
      </c>
      <c r="M262" s="644">
        <v>8.2693929534815594E-2</v>
      </c>
      <c r="N262" s="644">
        <v>6.3647065037125694E-2</v>
      </c>
      <c r="O262" s="644">
        <v>8.7224878988904405E-3</v>
      </c>
      <c r="P262" s="644"/>
      <c r="Q262" s="644"/>
      <c r="R262" s="644"/>
      <c r="S262" s="644"/>
      <c r="T262" s="644"/>
      <c r="U262" s="644"/>
      <c r="V262" s="644"/>
      <c r="W262" s="644"/>
      <c r="X262" s="644"/>
      <c r="Y262" s="644"/>
      <c r="Z262" s="644"/>
      <c r="AA262" s="644"/>
      <c r="AB262" s="644"/>
      <c r="AC262" s="644"/>
      <c r="AD262" s="644"/>
      <c r="AE262" s="644"/>
      <c r="AF262" s="204">
        <f t="shared" si="66"/>
        <v>5.117877240473871</v>
      </c>
    </row>
    <row r="263" spans="2:32" x14ac:dyDescent="0.2">
      <c r="B263" s="200">
        <f t="shared" si="64"/>
        <v>1.5416666666666674</v>
      </c>
      <c r="C263" s="200">
        <f t="shared" si="65"/>
        <v>1.5833333333333341</v>
      </c>
      <c r="D263" s="271">
        <f t="shared" si="62"/>
        <v>14</v>
      </c>
      <c r="E263" s="202" t="s">
        <v>340</v>
      </c>
      <c r="F263" s="203" t="s">
        <v>358</v>
      </c>
      <c r="G263" s="644">
        <v>2.6395056592788402</v>
      </c>
      <c r="H263" s="644">
        <v>1.4483849141618801</v>
      </c>
      <c r="I263" s="644">
        <v>1.0619711056853001</v>
      </c>
      <c r="J263" s="644">
        <v>0.38527311089353</v>
      </c>
      <c r="K263" s="644">
        <v>0.18001909884843201</v>
      </c>
      <c r="L263" s="644">
        <v>0.108293911150352</v>
      </c>
      <c r="M263" s="644">
        <v>8.08374825779411E-2</v>
      </c>
      <c r="N263" s="644">
        <v>8.1455126230891198E-2</v>
      </c>
      <c r="O263" s="644">
        <v>9.8035400914541996E-3</v>
      </c>
      <c r="P263" s="644"/>
      <c r="Q263" s="644"/>
      <c r="R263" s="644"/>
      <c r="S263" s="644"/>
      <c r="T263" s="644"/>
      <c r="U263" s="644"/>
      <c r="V263" s="644"/>
      <c r="W263" s="644"/>
      <c r="X263" s="644"/>
      <c r="Y263" s="644"/>
      <c r="Z263" s="644"/>
      <c r="AA263" s="644"/>
      <c r="AB263" s="644"/>
      <c r="AC263" s="644"/>
      <c r="AD263" s="644"/>
      <c r="AE263" s="644"/>
      <c r="AF263" s="204">
        <f t="shared" si="66"/>
        <v>5.9955439489186215</v>
      </c>
    </row>
    <row r="264" spans="2:32" x14ac:dyDescent="0.2">
      <c r="B264" s="200">
        <f t="shared" si="64"/>
        <v>1.5833333333333341</v>
      </c>
      <c r="C264" s="200">
        <f t="shared" si="65"/>
        <v>1.6250000000000009</v>
      </c>
      <c r="D264" s="271">
        <f t="shared" si="62"/>
        <v>15</v>
      </c>
      <c r="E264" s="202" t="s">
        <v>340</v>
      </c>
      <c r="F264" s="203" t="s">
        <v>358</v>
      </c>
      <c r="G264" s="644">
        <v>2.8143688986243101</v>
      </c>
      <c r="H264" s="644">
        <v>1.55079421661876</v>
      </c>
      <c r="I264" s="644">
        <v>1.2773620822585099</v>
      </c>
      <c r="J264" s="644">
        <v>0.39309114346062801</v>
      </c>
      <c r="K264" s="644">
        <v>0.18189429779477001</v>
      </c>
      <c r="L264" s="644">
        <v>0.113660261735034</v>
      </c>
      <c r="M264" s="644">
        <v>6.9879288735279405E-2</v>
      </c>
      <c r="N264" s="644">
        <v>0.116148885136692</v>
      </c>
      <c r="O264" s="644">
        <v>8.0230386919064294E-3</v>
      </c>
      <c r="P264" s="644"/>
      <c r="Q264" s="644"/>
      <c r="R264" s="644"/>
      <c r="S264" s="644"/>
      <c r="T264" s="644"/>
      <c r="U264" s="644"/>
      <c r="V264" s="644"/>
      <c r="W264" s="644"/>
      <c r="X264" s="644"/>
      <c r="Y264" s="644"/>
      <c r="Z264" s="644"/>
      <c r="AA264" s="644"/>
      <c r="AB264" s="644"/>
      <c r="AC264" s="644"/>
      <c r="AD264" s="644"/>
      <c r="AE264" s="644"/>
      <c r="AF264" s="204">
        <f t="shared" si="66"/>
        <v>6.5252221130558903</v>
      </c>
    </row>
    <row r="265" spans="2:32" x14ac:dyDescent="0.2">
      <c r="B265" s="200">
        <f t="shared" si="64"/>
        <v>1.6250000000000009</v>
      </c>
      <c r="C265" s="200">
        <f t="shared" si="65"/>
        <v>1.6666666666666676</v>
      </c>
      <c r="D265" s="271">
        <f t="shared" si="62"/>
        <v>16</v>
      </c>
      <c r="E265" s="202" t="s">
        <v>340</v>
      </c>
      <c r="F265" s="203" t="s">
        <v>358</v>
      </c>
      <c r="G265" s="644">
        <v>2.7647220689205398</v>
      </c>
      <c r="H265" s="644">
        <v>1.569026775974</v>
      </c>
      <c r="I265" s="644">
        <v>1.2387920527307501</v>
      </c>
      <c r="J265" s="644">
        <v>0.41187306813118602</v>
      </c>
      <c r="K265" s="644">
        <v>0.254558256965361</v>
      </c>
      <c r="L265" s="644">
        <v>0.114384557328057</v>
      </c>
      <c r="M265" s="644">
        <v>7.0052744637815703E-2</v>
      </c>
      <c r="N265" s="644">
        <v>0.12516788886897301</v>
      </c>
      <c r="O265" s="644">
        <v>9.7941640967225199E-3</v>
      </c>
      <c r="P265" s="644"/>
      <c r="Q265" s="644"/>
      <c r="R265" s="644"/>
      <c r="S265" s="644"/>
      <c r="T265" s="644"/>
      <c r="U265" s="644"/>
      <c r="V265" s="644"/>
      <c r="W265" s="644"/>
      <c r="X265" s="644"/>
      <c r="Y265" s="644"/>
      <c r="Z265" s="644"/>
      <c r="AA265" s="644"/>
      <c r="AB265" s="644"/>
      <c r="AC265" s="644"/>
      <c r="AD265" s="644"/>
      <c r="AE265" s="644"/>
      <c r="AF265" s="204">
        <f t="shared" si="66"/>
        <v>6.5583715776534053</v>
      </c>
    </row>
    <row r="266" spans="2:32" x14ac:dyDescent="0.2">
      <c r="B266" s="200">
        <f t="shared" si="64"/>
        <v>1.6666666666666676</v>
      </c>
      <c r="C266" s="200">
        <f t="shared" si="65"/>
        <v>1.7083333333333344</v>
      </c>
      <c r="D266" s="271">
        <f t="shared" si="62"/>
        <v>17</v>
      </c>
      <c r="E266" s="202" t="s">
        <v>340</v>
      </c>
      <c r="F266" s="203" t="s">
        <v>358</v>
      </c>
      <c r="G266" s="644">
        <v>2.7331915362373498</v>
      </c>
      <c r="H266" s="644">
        <v>1.6061838430956801</v>
      </c>
      <c r="I266" s="644">
        <v>1.2849200716117199</v>
      </c>
      <c r="J266" s="644">
        <v>0.394800328700248</v>
      </c>
      <c r="K266" s="644">
        <v>0.23908786565807399</v>
      </c>
      <c r="L266" s="644">
        <v>0.112607103126797</v>
      </c>
      <c r="M266" s="644">
        <v>6.7725153945673897E-2</v>
      </c>
      <c r="N266" s="644">
        <v>0.125709586964596</v>
      </c>
      <c r="O266" s="644">
        <v>1.3706766698256399E-2</v>
      </c>
      <c r="P266" s="644"/>
      <c r="Q266" s="644"/>
      <c r="R266" s="644"/>
      <c r="S266" s="644"/>
      <c r="T266" s="644"/>
      <c r="U266" s="644"/>
      <c r="V266" s="644"/>
      <c r="W266" s="644"/>
      <c r="X266" s="644"/>
      <c r="Y266" s="644"/>
      <c r="Z266" s="644"/>
      <c r="AA266" s="644"/>
      <c r="AB266" s="644"/>
      <c r="AC266" s="644"/>
      <c r="AD266" s="644"/>
      <c r="AE266" s="644"/>
      <c r="AF266" s="204">
        <f t="shared" si="66"/>
        <v>6.5779322560383946</v>
      </c>
    </row>
    <row r="267" spans="2:32" x14ac:dyDescent="0.2">
      <c r="B267" s="200">
        <f t="shared" si="64"/>
        <v>1.7083333333333344</v>
      </c>
      <c r="C267" s="200">
        <f t="shared" si="65"/>
        <v>1.7500000000000011</v>
      </c>
      <c r="D267" s="271">
        <f t="shared" si="62"/>
        <v>18</v>
      </c>
      <c r="E267" s="202" t="s">
        <v>361</v>
      </c>
      <c r="F267" s="203" t="s">
        <v>358</v>
      </c>
      <c r="G267" s="644">
        <v>2.50737070312461</v>
      </c>
      <c r="H267" s="644">
        <v>1.4004267011092899</v>
      </c>
      <c r="I267" s="644">
        <v>0.73072377501103503</v>
      </c>
      <c r="J267" s="644">
        <v>0.42258045411477502</v>
      </c>
      <c r="K267" s="644">
        <v>0.12938872729731099</v>
      </c>
      <c r="L267" s="644">
        <v>0.109787272711241</v>
      </c>
      <c r="M267" s="644">
        <v>5.8433543166569901E-2</v>
      </c>
      <c r="N267" s="644">
        <v>8.5931929315404498E-2</v>
      </c>
      <c r="O267" s="644">
        <v>1.6184842105841899E-2</v>
      </c>
      <c r="P267" s="644"/>
      <c r="Q267" s="644"/>
      <c r="R267" s="644"/>
      <c r="S267" s="644"/>
      <c r="T267" s="644"/>
      <c r="U267" s="644"/>
      <c r="V267" s="644"/>
      <c r="W267" s="644"/>
      <c r="X267" s="644"/>
      <c r="Y267" s="644"/>
      <c r="Z267" s="644"/>
      <c r="AA267" s="644"/>
      <c r="AB267" s="644"/>
      <c r="AC267" s="644"/>
      <c r="AD267" s="644"/>
      <c r="AE267" s="644"/>
      <c r="AF267" s="204">
        <f t="shared" si="66"/>
        <v>5.4608279479560791</v>
      </c>
    </row>
    <row r="268" spans="2:32" x14ac:dyDescent="0.2">
      <c r="B268" s="205"/>
      <c r="C268" s="205" t="s">
        <v>622</v>
      </c>
      <c r="D268" s="205"/>
      <c r="E268" s="205"/>
      <c r="F268" s="205" t="s">
        <v>356</v>
      </c>
      <c r="G268" s="206">
        <f t="shared" ref="G268:R268" si="67">MAX(G244:G246)</f>
        <v>0.160685797711689</v>
      </c>
      <c r="H268" s="206">
        <f t="shared" si="67"/>
        <v>1.2878988251379799</v>
      </c>
      <c r="I268" s="206">
        <f t="shared" si="67"/>
        <v>0.353127151980136</v>
      </c>
      <c r="J268" s="206">
        <f t="shared" si="67"/>
        <v>0.33841567712641901</v>
      </c>
      <c r="K268" s="206">
        <f t="shared" si="67"/>
        <v>3.3753581034081E-2</v>
      </c>
      <c r="L268" s="206">
        <f t="shared" si="67"/>
        <v>0.104597659627251</v>
      </c>
      <c r="M268" s="206">
        <f t="shared" si="67"/>
        <v>2.8767895835505299E-2</v>
      </c>
      <c r="N268" s="206">
        <f t="shared" si="67"/>
        <v>0.122931948525333</v>
      </c>
      <c r="O268" s="206">
        <f t="shared" si="67"/>
        <v>1.9432686680899001E-2</v>
      </c>
      <c r="P268" s="206">
        <f t="shared" si="67"/>
        <v>0</v>
      </c>
      <c r="Q268" s="206">
        <f t="shared" si="67"/>
        <v>0</v>
      </c>
      <c r="R268" s="206">
        <f t="shared" si="67"/>
        <v>0</v>
      </c>
      <c r="S268" s="206">
        <f t="shared" ref="S268:AF268" si="68">MAX(S244:S246)</f>
        <v>0</v>
      </c>
      <c r="T268" s="206">
        <f t="shared" si="68"/>
        <v>0</v>
      </c>
      <c r="U268" s="206">
        <f t="shared" si="68"/>
        <v>0</v>
      </c>
      <c r="V268" s="206">
        <f t="shared" si="68"/>
        <v>0</v>
      </c>
      <c r="W268" s="206">
        <f t="shared" si="68"/>
        <v>0</v>
      </c>
      <c r="X268" s="206">
        <f t="shared" si="68"/>
        <v>0</v>
      </c>
      <c r="Y268" s="206">
        <f t="shared" si="68"/>
        <v>0</v>
      </c>
      <c r="Z268" s="206">
        <f t="shared" si="68"/>
        <v>0</v>
      </c>
      <c r="AA268" s="206">
        <f t="shared" si="68"/>
        <v>0</v>
      </c>
      <c r="AB268" s="206">
        <f t="shared" si="68"/>
        <v>0</v>
      </c>
      <c r="AC268" s="206">
        <f t="shared" si="68"/>
        <v>0</v>
      </c>
      <c r="AD268" s="206">
        <f t="shared" si="68"/>
        <v>0</v>
      </c>
      <c r="AE268" s="206">
        <f t="shared" si="68"/>
        <v>0</v>
      </c>
      <c r="AF268" s="206">
        <f t="shared" si="68"/>
        <v>2.3779111167471134</v>
      </c>
    </row>
    <row r="269" spans="2:32" x14ac:dyDescent="0.2">
      <c r="B269" s="205"/>
      <c r="C269" s="205" t="s">
        <v>622</v>
      </c>
      <c r="D269" s="205"/>
      <c r="E269" s="205"/>
      <c r="F269" s="205" t="s">
        <v>358</v>
      </c>
      <c r="G269" s="206">
        <f t="shared" ref="G269:R269" si="69">MAX(G247:G267)</f>
        <v>2.8143688986243101</v>
      </c>
      <c r="H269" s="206">
        <f t="shared" si="69"/>
        <v>1.6061838430956801</v>
      </c>
      <c r="I269" s="206">
        <f t="shared" si="69"/>
        <v>1.2849200716117199</v>
      </c>
      <c r="J269" s="206">
        <f t="shared" si="69"/>
        <v>0.42258045411477502</v>
      </c>
      <c r="K269" s="206">
        <f t="shared" si="69"/>
        <v>0.28737423852627297</v>
      </c>
      <c r="L269" s="206">
        <f t="shared" si="69"/>
        <v>0.114384557328057</v>
      </c>
      <c r="M269" s="206">
        <f t="shared" si="69"/>
        <v>8.2693929534815594E-2</v>
      </c>
      <c r="N269" s="206">
        <f t="shared" si="69"/>
        <v>0.125709586964596</v>
      </c>
      <c r="O269" s="206">
        <f t="shared" si="69"/>
        <v>1.6184842105841899E-2</v>
      </c>
      <c r="P269" s="206">
        <f t="shared" si="69"/>
        <v>0</v>
      </c>
      <c r="Q269" s="206">
        <f t="shared" si="69"/>
        <v>0</v>
      </c>
      <c r="R269" s="206">
        <f t="shared" si="69"/>
        <v>0</v>
      </c>
      <c r="S269" s="206">
        <f t="shared" ref="S269:AF269" si="70">MAX(S247:S267)</f>
        <v>0</v>
      </c>
      <c r="T269" s="206">
        <f t="shared" si="70"/>
        <v>0</v>
      </c>
      <c r="U269" s="206">
        <f t="shared" si="70"/>
        <v>0</v>
      </c>
      <c r="V269" s="206">
        <f t="shared" si="70"/>
        <v>0</v>
      </c>
      <c r="W269" s="206">
        <f t="shared" si="70"/>
        <v>0</v>
      </c>
      <c r="X269" s="206">
        <f t="shared" si="70"/>
        <v>0</v>
      </c>
      <c r="Y269" s="206">
        <f t="shared" si="70"/>
        <v>0</v>
      </c>
      <c r="Z269" s="206">
        <f t="shared" si="70"/>
        <v>0</v>
      </c>
      <c r="AA269" s="206">
        <f t="shared" si="70"/>
        <v>0</v>
      </c>
      <c r="AB269" s="206">
        <f t="shared" si="70"/>
        <v>0</v>
      </c>
      <c r="AC269" s="206">
        <f t="shared" si="70"/>
        <v>0</v>
      </c>
      <c r="AD269" s="206">
        <f t="shared" si="70"/>
        <v>0</v>
      </c>
      <c r="AE269" s="206">
        <f t="shared" si="70"/>
        <v>0</v>
      </c>
      <c r="AF269" s="206">
        <f t="shared" si="70"/>
        <v>6.5779322560383946</v>
      </c>
    </row>
    <row r="270" spans="2:32" x14ac:dyDescent="0.2">
      <c r="B270" s="205"/>
      <c r="C270" s="205"/>
      <c r="D270" s="205"/>
      <c r="E270" s="205"/>
      <c r="F270" s="205" t="s">
        <v>710</v>
      </c>
      <c r="G270" s="645">
        <v>0.82320560982862201</v>
      </c>
      <c r="H270" s="645">
        <v>0.71964875097080605</v>
      </c>
      <c r="I270" s="645">
        <v>0.32773700914373499</v>
      </c>
      <c r="J270" s="645">
        <v>0.59162601694806605</v>
      </c>
      <c r="K270" s="645">
        <v>0.52012169824367305</v>
      </c>
      <c r="L270" s="645">
        <v>0.78850603828188803</v>
      </c>
      <c r="M270" s="645">
        <v>0.46696148081661698</v>
      </c>
      <c r="N270" s="645">
        <v>0.430992591021229</v>
      </c>
      <c r="O270" s="645">
        <v>0.77843590720626599</v>
      </c>
      <c r="P270" s="645"/>
      <c r="Q270" s="645"/>
      <c r="R270" s="645"/>
      <c r="S270" s="645"/>
      <c r="T270" s="645"/>
      <c r="U270" s="645"/>
      <c r="V270" s="645"/>
      <c r="W270" s="645"/>
      <c r="X270" s="645"/>
      <c r="Y270" s="645"/>
      <c r="Z270" s="645"/>
      <c r="AA270" s="645"/>
      <c r="AB270" s="645"/>
      <c r="AC270" s="645"/>
      <c r="AD270" s="645"/>
      <c r="AE270" s="645"/>
      <c r="AF270" s="270"/>
    </row>
    <row r="271" spans="2:32" x14ac:dyDescent="0.2">
      <c r="B271" s="205"/>
      <c r="C271" s="205"/>
      <c r="D271" s="205"/>
      <c r="E271" s="205"/>
      <c r="F271" s="205" t="s">
        <v>702</v>
      </c>
      <c r="G271" s="645">
        <v>0.88631604857049195</v>
      </c>
      <c r="H271" s="645">
        <v>0.699859928008701</v>
      </c>
      <c r="I271" s="645">
        <v>0.229886124600335</v>
      </c>
      <c r="J271" s="645">
        <v>0.70986109515072204</v>
      </c>
      <c r="K271" s="645">
        <v>6.9423316277140004E-2</v>
      </c>
      <c r="L271" s="645">
        <v>0.97808649206868004</v>
      </c>
      <c r="M271" s="645">
        <v>0.52750704928999004</v>
      </c>
      <c r="N271" s="645">
        <v>0.51900900840230502</v>
      </c>
      <c r="O271" s="645">
        <v>0.81878510984263997</v>
      </c>
      <c r="P271" s="645"/>
      <c r="Q271" s="645"/>
      <c r="R271" s="645"/>
      <c r="S271" s="645"/>
      <c r="T271" s="645"/>
      <c r="U271" s="645"/>
      <c r="V271" s="645"/>
      <c r="W271" s="645"/>
      <c r="X271" s="645"/>
      <c r="Y271" s="645"/>
      <c r="Z271" s="645"/>
      <c r="AA271" s="645"/>
      <c r="AB271" s="645"/>
      <c r="AC271" s="645"/>
      <c r="AD271" s="645"/>
      <c r="AE271" s="645"/>
      <c r="AF271" s="270"/>
    </row>
    <row r="272" spans="2:32" x14ac:dyDescent="0.2">
      <c r="B272" s="205"/>
      <c r="C272" s="205"/>
      <c r="D272" s="205"/>
      <c r="E272" s="205"/>
      <c r="F272" s="205" t="s">
        <v>711</v>
      </c>
      <c r="G272" s="645">
        <v>17182.893187843401</v>
      </c>
      <c r="H272" s="645">
        <v>8755.7641255303497</v>
      </c>
      <c r="I272" s="645">
        <v>4005.0324580493598</v>
      </c>
      <c r="J272" s="645">
        <v>1758.1787807593</v>
      </c>
      <c r="K272" s="645">
        <v>960.29219321802498</v>
      </c>
      <c r="L272" s="645">
        <v>856.98060573773898</v>
      </c>
      <c r="M272" s="645">
        <v>341.55053627696202</v>
      </c>
      <c r="N272" s="645">
        <v>511.35340031223097</v>
      </c>
      <c r="O272" s="645">
        <v>85.0997122726219</v>
      </c>
      <c r="P272" s="645"/>
      <c r="Q272" s="645"/>
      <c r="R272" s="645"/>
      <c r="S272" s="645"/>
      <c r="T272" s="645"/>
      <c r="U272" s="645"/>
      <c r="V272" s="645"/>
      <c r="W272" s="645"/>
      <c r="X272" s="645"/>
      <c r="Y272" s="645"/>
      <c r="Z272" s="645"/>
      <c r="AA272" s="645"/>
      <c r="AB272" s="645"/>
      <c r="AC272" s="645"/>
      <c r="AD272" s="645"/>
      <c r="AE272" s="645"/>
      <c r="AF272" s="270"/>
    </row>
    <row r="274" spans="2:32" x14ac:dyDescent="0.2">
      <c r="B274" s="803" t="s">
        <v>8</v>
      </c>
      <c r="C274" s="804"/>
      <c r="D274" s="800"/>
      <c r="E274" s="801"/>
      <c r="F274" s="802"/>
      <c r="G274" s="196" t="s">
        <v>8</v>
      </c>
      <c r="H274" s="196" t="s">
        <v>8</v>
      </c>
      <c r="I274" s="196" t="s">
        <v>8</v>
      </c>
      <c r="J274" s="196" t="s">
        <v>8</v>
      </c>
      <c r="K274" s="196" t="s">
        <v>8</v>
      </c>
      <c r="L274" s="196" t="s">
        <v>8</v>
      </c>
      <c r="M274" s="196" t="s">
        <v>8</v>
      </c>
      <c r="N274" s="196" t="s">
        <v>8</v>
      </c>
      <c r="O274" s="196" t="s">
        <v>8</v>
      </c>
      <c r="P274" s="196" t="s">
        <v>8</v>
      </c>
      <c r="Q274" s="196" t="s">
        <v>8</v>
      </c>
      <c r="R274" s="196" t="s">
        <v>8</v>
      </c>
      <c r="S274" s="196" t="s">
        <v>8</v>
      </c>
      <c r="T274" s="196" t="s">
        <v>8</v>
      </c>
      <c r="U274" s="196" t="s">
        <v>8</v>
      </c>
      <c r="V274" s="196" t="s">
        <v>8</v>
      </c>
      <c r="W274" s="196" t="s">
        <v>8</v>
      </c>
      <c r="X274" s="196" t="s">
        <v>8</v>
      </c>
      <c r="Y274" s="196" t="s">
        <v>8</v>
      </c>
      <c r="Z274" s="196" t="s">
        <v>8</v>
      </c>
      <c r="AA274" s="196" t="s">
        <v>8</v>
      </c>
      <c r="AB274" s="196" t="s">
        <v>8</v>
      </c>
      <c r="AC274" s="196" t="s">
        <v>8</v>
      </c>
      <c r="AD274" s="196" t="s">
        <v>8</v>
      </c>
      <c r="AE274" s="196" t="s">
        <v>8</v>
      </c>
      <c r="AF274" s="197"/>
    </row>
    <row r="275" spans="2:32" x14ac:dyDescent="0.2">
      <c r="B275" s="803"/>
      <c r="C275" s="804"/>
      <c r="D275" s="390"/>
      <c r="E275" s="391"/>
      <c r="F275" s="392"/>
      <c r="G275" s="196">
        <v>1</v>
      </c>
      <c r="H275" s="196">
        <v>2</v>
      </c>
      <c r="I275" s="196">
        <v>3</v>
      </c>
      <c r="J275" s="196">
        <v>4</v>
      </c>
      <c r="K275" s="196">
        <v>5</v>
      </c>
      <c r="L275" s="196">
        <v>6</v>
      </c>
      <c r="M275" s="196">
        <v>7</v>
      </c>
      <c r="N275" s="196">
        <v>8</v>
      </c>
      <c r="O275" s="196">
        <v>9</v>
      </c>
      <c r="P275" s="196">
        <v>10</v>
      </c>
      <c r="Q275" s="196">
        <v>11</v>
      </c>
      <c r="R275" s="196">
        <v>12</v>
      </c>
      <c r="S275" s="196">
        <v>13</v>
      </c>
      <c r="T275" s="196">
        <v>14</v>
      </c>
      <c r="U275" s="196">
        <v>15</v>
      </c>
      <c r="V275" s="196">
        <v>16</v>
      </c>
      <c r="W275" s="196">
        <v>17</v>
      </c>
      <c r="X275" s="196">
        <v>18</v>
      </c>
      <c r="Y275" s="196">
        <v>19</v>
      </c>
      <c r="Z275" s="196">
        <v>20</v>
      </c>
      <c r="AA275" s="196">
        <v>21</v>
      </c>
      <c r="AB275" s="196">
        <v>22</v>
      </c>
      <c r="AC275" s="196">
        <v>23</v>
      </c>
      <c r="AD275" s="196">
        <v>24</v>
      </c>
      <c r="AE275" s="196">
        <v>25</v>
      </c>
      <c r="AF275" s="197" t="s">
        <v>620</v>
      </c>
    </row>
    <row r="276" spans="2:32" x14ac:dyDescent="0.2">
      <c r="B276" s="803"/>
      <c r="C276" s="804"/>
      <c r="D276" s="800" t="s">
        <v>48</v>
      </c>
      <c r="E276" s="801"/>
      <c r="F276" s="802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96"/>
      <c r="AD276" s="196"/>
      <c r="AE276" s="196"/>
      <c r="AF276" s="197"/>
    </row>
    <row r="277" spans="2:32" x14ac:dyDescent="0.2">
      <c r="B277" s="803" t="s">
        <v>47</v>
      </c>
      <c r="C277" s="804"/>
      <c r="D277" s="390"/>
      <c r="E277" s="391" t="s">
        <v>360</v>
      </c>
      <c r="F277" s="392"/>
      <c r="G277" s="198" t="s">
        <v>343</v>
      </c>
      <c r="H277" s="198" t="s">
        <v>343</v>
      </c>
      <c r="I277" s="198" t="s">
        <v>343</v>
      </c>
      <c r="J277" s="198" t="s">
        <v>343</v>
      </c>
      <c r="K277" s="198" t="s">
        <v>343</v>
      </c>
      <c r="L277" s="198" t="s">
        <v>343</v>
      </c>
      <c r="M277" s="198" t="s">
        <v>343</v>
      </c>
      <c r="N277" s="198" t="s">
        <v>343</v>
      </c>
      <c r="O277" s="198" t="s">
        <v>343</v>
      </c>
      <c r="P277" s="198" t="s">
        <v>343</v>
      </c>
      <c r="Q277" s="198" t="s">
        <v>343</v>
      </c>
      <c r="R277" s="198" t="s">
        <v>343</v>
      </c>
      <c r="S277" s="198" t="s">
        <v>343</v>
      </c>
      <c r="T277" s="198" t="s">
        <v>343</v>
      </c>
      <c r="U277" s="198" t="s">
        <v>343</v>
      </c>
      <c r="V277" s="198" t="s">
        <v>343</v>
      </c>
      <c r="W277" s="198" t="s">
        <v>343</v>
      </c>
      <c r="X277" s="198" t="s">
        <v>343</v>
      </c>
      <c r="Y277" s="198" t="s">
        <v>343</v>
      </c>
      <c r="Z277" s="198" t="s">
        <v>343</v>
      </c>
      <c r="AA277" s="198" t="s">
        <v>343</v>
      </c>
      <c r="AB277" s="198" t="s">
        <v>343</v>
      </c>
      <c r="AC277" s="198" t="s">
        <v>343</v>
      </c>
      <c r="AD277" s="198" t="s">
        <v>343</v>
      </c>
      <c r="AE277" s="198" t="s">
        <v>343</v>
      </c>
      <c r="AF277" s="199" t="s">
        <v>343</v>
      </c>
    </row>
    <row r="278" spans="2:32" x14ac:dyDescent="0.2">
      <c r="B278" s="200">
        <f>'DADOS-Campanha'!$J$23</f>
        <v>0.75</v>
      </c>
      <c r="C278" s="200">
        <f>B278+$C$1</f>
        <v>0.79166666666666663</v>
      </c>
      <c r="D278" s="271">
        <f t="shared" ref="D278:D301" si="71">HOUR(B278)+HOUR($C$1)</f>
        <v>19</v>
      </c>
      <c r="E278" s="202" t="s">
        <v>339</v>
      </c>
      <c r="F278" s="203" t="s">
        <v>356</v>
      </c>
      <c r="G278" s="644"/>
      <c r="H278" s="644"/>
      <c r="I278" s="644"/>
      <c r="J278" s="644"/>
      <c r="K278" s="644"/>
      <c r="L278" s="644"/>
      <c r="M278" s="644"/>
      <c r="N278" s="644"/>
      <c r="O278" s="644"/>
      <c r="P278" s="644"/>
      <c r="Q278" s="644"/>
      <c r="R278" s="644"/>
      <c r="S278" s="644"/>
      <c r="T278" s="644"/>
      <c r="U278" s="644"/>
      <c r="V278" s="644"/>
      <c r="W278" s="644"/>
      <c r="X278" s="644"/>
      <c r="Y278" s="644"/>
      <c r="Z278" s="644"/>
      <c r="AA278" s="644"/>
      <c r="AB278" s="644"/>
      <c r="AC278" s="644"/>
      <c r="AD278" s="644"/>
      <c r="AE278" s="644"/>
      <c r="AF278" s="204">
        <f t="shared" ref="AF278:AF287" si="72">SUM(G278:AE278)</f>
        <v>0</v>
      </c>
    </row>
    <row r="279" spans="2:32" x14ac:dyDescent="0.2">
      <c r="B279" s="200">
        <f>C278</f>
        <v>0.79166666666666663</v>
      </c>
      <c r="C279" s="200">
        <f>B279+$C$1</f>
        <v>0.83333333333333326</v>
      </c>
      <c r="D279" s="271">
        <f t="shared" si="71"/>
        <v>20</v>
      </c>
      <c r="E279" s="202" t="s">
        <v>339</v>
      </c>
      <c r="F279" s="203" t="s">
        <v>356</v>
      </c>
      <c r="G279" s="644"/>
      <c r="H279" s="644"/>
      <c r="I279" s="644"/>
      <c r="J279" s="644"/>
      <c r="K279" s="644"/>
      <c r="L279" s="644"/>
      <c r="M279" s="644"/>
      <c r="N279" s="644"/>
      <c r="O279" s="644"/>
      <c r="P279" s="644"/>
      <c r="Q279" s="644"/>
      <c r="R279" s="644"/>
      <c r="S279" s="644"/>
      <c r="T279" s="644"/>
      <c r="U279" s="644"/>
      <c r="V279" s="644"/>
      <c r="W279" s="644"/>
      <c r="X279" s="644"/>
      <c r="Y279" s="644"/>
      <c r="Z279" s="644"/>
      <c r="AA279" s="644"/>
      <c r="AB279" s="644"/>
      <c r="AC279" s="644"/>
      <c r="AD279" s="644"/>
      <c r="AE279" s="644"/>
      <c r="AF279" s="204">
        <f t="shared" si="72"/>
        <v>0</v>
      </c>
    </row>
    <row r="280" spans="2:32" x14ac:dyDescent="0.2">
      <c r="B280" s="200">
        <f t="shared" ref="B280:B301" si="73">C279</f>
        <v>0.83333333333333326</v>
      </c>
      <c r="C280" s="200">
        <f t="shared" ref="C280:C301" si="74">B280+$C$1</f>
        <v>0.87499999999999989</v>
      </c>
      <c r="D280" s="271">
        <f t="shared" si="71"/>
        <v>21</v>
      </c>
      <c r="E280" s="202" t="s">
        <v>339</v>
      </c>
      <c r="F280" s="203" t="s">
        <v>356</v>
      </c>
      <c r="G280" s="644"/>
      <c r="H280" s="644"/>
      <c r="I280" s="644"/>
      <c r="J280" s="644"/>
      <c r="K280" s="644"/>
      <c r="L280" s="644"/>
      <c r="M280" s="644"/>
      <c r="N280" s="644"/>
      <c r="O280" s="644"/>
      <c r="P280" s="644"/>
      <c r="Q280" s="644"/>
      <c r="R280" s="644"/>
      <c r="S280" s="644"/>
      <c r="T280" s="644"/>
      <c r="U280" s="644"/>
      <c r="V280" s="644"/>
      <c r="W280" s="644"/>
      <c r="X280" s="644"/>
      <c r="Y280" s="644"/>
      <c r="Z280" s="644"/>
      <c r="AA280" s="644"/>
      <c r="AB280" s="644"/>
      <c r="AC280" s="644"/>
      <c r="AD280" s="644"/>
      <c r="AE280" s="644"/>
      <c r="AF280" s="204">
        <f t="shared" si="72"/>
        <v>0</v>
      </c>
    </row>
    <row r="281" spans="2:32" x14ac:dyDescent="0.2">
      <c r="B281" s="200">
        <f t="shared" si="73"/>
        <v>0.87499999999999989</v>
      </c>
      <c r="C281" s="200">
        <f t="shared" si="74"/>
        <v>0.91666666666666652</v>
      </c>
      <c r="D281" s="271">
        <f t="shared" si="71"/>
        <v>22</v>
      </c>
      <c r="E281" s="202" t="s">
        <v>361</v>
      </c>
      <c r="F281" s="203" t="s">
        <v>358</v>
      </c>
      <c r="G281" s="644"/>
      <c r="H281" s="644"/>
      <c r="I281" s="644"/>
      <c r="J281" s="644"/>
      <c r="K281" s="644"/>
      <c r="L281" s="644"/>
      <c r="M281" s="644"/>
      <c r="N281" s="644"/>
      <c r="O281" s="644"/>
      <c r="P281" s="644"/>
      <c r="Q281" s="644"/>
      <c r="R281" s="644"/>
      <c r="S281" s="644"/>
      <c r="T281" s="644"/>
      <c r="U281" s="644"/>
      <c r="V281" s="644"/>
      <c r="W281" s="644"/>
      <c r="X281" s="644"/>
      <c r="Y281" s="644"/>
      <c r="Z281" s="644"/>
      <c r="AA281" s="644"/>
      <c r="AB281" s="644"/>
      <c r="AC281" s="644"/>
      <c r="AD281" s="644"/>
      <c r="AE281" s="644"/>
      <c r="AF281" s="204">
        <f t="shared" si="72"/>
        <v>0</v>
      </c>
    </row>
    <row r="282" spans="2:32" x14ac:dyDescent="0.2">
      <c r="B282" s="200">
        <f t="shared" si="73"/>
        <v>0.91666666666666652</v>
      </c>
      <c r="C282" s="200">
        <f t="shared" si="74"/>
        <v>0.95833333333333315</v>
      </c>
      <c r="D282" s="271">
        <f t="shared" si="71"/>
        <v>23</v>
      </c>
      <c r="E282" s="202" t="s">
        <v>340</v>
      </c>
      <c r="F282" s="203" t="s">
        <v>358</v>
      </c>
      <c r="G282" s="644"/>
      <c r="H282" s="644"/>
      <c r="I282" s="644"/>
      <c r="J282" s="644"/>
      <c r="K282" s="644"/>
      <c r="L282" s="644"/>
      <c r="M282" s="644"/>
      <c r="N282" s="644"/>
      <c r="O282" s="644"/>
      <c r="P282" s="644"/>
      <c r="Q282" s="644"/>
      <c r="R282" s="644"/>
      <c r="S282" s="644"/>
      <c r="T282" s="644"/>
      <c r="U282" s="644"/>
      <c r="V282" s="644"/>
      <c r="W282" s="644"/>
      <c r="X282" s="644"/>
      <c r="Y282" s="644"/>
      <c r="Z282" s="644"/>
      <c r="AA282" s="644"/>
      <c r="AB282" s="644"/>
      <c r="AC282" s="644"/>
      <c r="AD282" s="644"/>
      <c r="AE282" s="644"/>
      <c r="AF282" s="204">
        <f t="shared" si="72"/>
        <v>0</v>
      </c>
    </row>
    <row r="283" spans="2:32" x14ac:dyDescent="0.2">
      <c r="B283" s="200">
        <f t="shared" si="73"/>
        <v>0.95833333333333315</v>
      </c>
      <c r="C283" s="200">
        <f t="shared" si="74"/>
        <v>0.99999999999999978</v>
      </c>
      <c r="D283" s="271">
        <f t="shared" si="71"/>
        <v>24</v>
      </c>
      <c r="E283" s="202" t="s">
        <v>340</v>
      </c>
      <c r="F283" s="203" t="s">
        <v>358</v>
      </c>
      <c r="G283" s="644"/>
      <c r="H283" s="644"/>
      <c r="I283" s="644"/>
      <c r="J283" s="644"/>
      <c r="K283" s="644"/>
      <c r="L283" s="644"/>
      <c r="M283" s="644"/>
      <c r="N283" s="644"/>
      <c r="O283" s="644"/>
      <c r="P283" s="644"/>
      <c r="Q283" s="644"/>
      <c r="R283" s="644"/>
      <c r="S283" s="644"/>
      <c r="T283" s="644"/>
      <c r="U283" s="644"/>
      <c r="V283" s="644"/>
      <c r="W283" s="644"/>
      <c r="X283" s="644"/>
      <c r="Y283" s="644"/>
      <c r="Z283" s="644"/>
      <c r="AA283" s="644"/>
      <c r="AB283" s="644"/>
      <c r="AC283" s="644"/>
      <c r="AD283" s="644"/>
      <c r="AE283" s="644"/>
      <c r="AF283" s="204">
        <f t="shared" si="72"/>
        <v>0</v>
      </c>
    </row>
    <row r="284" spans="2:32" x14ac:dyDescent="0.2">
      <c r="B284" s="200">
        <f t="shared" si="73"/>
        <v>0.99999999999999978</v>
      </c>
      <c r="C284" s="200">
        <f t="shared" si="74"/>
        <v>1.0416666666666665</v>
      </c>
      <c r="D284" s="271">
        <f t="shared" si="71"/>
        <v>1</v>
      </c>
      <c r="E284" s="202" t="s">
        <v>340</v>
      </c>
      <c r="F284" s="203" t="s">
        <v>358</v>
      </c>
      <c r="G284" s="644"/>
      <c r="H284" s="644"/>
      <c r="I284" s="644"/>
      <c r="J284" s="644"/>
      <c r="K284" s="644"/>
      <c r="L284" s="644"/>
      <c r="M284" s="644"/>
      <c r="N284" s="644"/>
      <c r="O284" s="644"/>
      <c r="P284" s="644"/>
      <c r="Q284" s="644"/>
      <c r="R284" s="644"/>
      <c r="S284" s="644"/>
      <c r="T284" s="644"/>
      <c r="U284" s="644"/>
      <c r="V284" s="644"/>
      <c r="W284" s="644"/>
      <c r="X284" s="644"/>
      <c r="Y284" s="644"/>
      <c r="Z284" s="644"/>
      <c r="AA284" s="644"/>
      <c r="AB284" s="644"/>
      <c r="AC284" s="644"/>
      <c r="AD284" s="644"/>
      <c r="AE284" s="644"/>
      <c r="AF284" s="204">
        <f t="shared" si="72"/>
        <v>0</v>
      </c>
    </row>
    <row r="285" spans="2:32" x14ac:dyDescent="0.2">
      <c r="B285" s="200">
        <f t="shared" si="73"/>
        <v>1.0416666666666665</v>
      </c>
      <c r="C285" s="200">
        <f t="shared" si="74"/>
        <v>1.0833333333333333</v>
      </c>
      <c r="D285" s="271">
        <f t="shared" si="71"/>
        <v>2</v>
      </c>
      <c r="E285" s="202" t="s">
        <v>340</v>
      </c>
      <c r="F285" s="203" t="s">
        <v>358</v>
      </c>
      <c r="G285" s="644"/>
      <c r="H285" s="644"/>
      <c r="I285" s="644"/>
      <c r="J285" s="644"/>
      <c r="K285" s="644"/>
      <c r="L285" s="644"/>
      <c r="M285" s="644"/>
      <c r="N285" s="644"/>
      <c r="O285" s="644"/>
      <c r="P285" s="644"/>
      <c r="Q285" s="644"/>
      <c r="R285" s="644"/>
      <c r="S285" s="644"/>
      <c r="T285" s="644"/>
      <c r="U285" s="644"/>
      <c r="V285" s="644"/>
      <c r="W285" s="644"/>
      <c r="X285" s="644"/>
      <c r="Y285" s="644"/>
      <c r="Z285" s="644"/>
      <c r="AA285" s="644"/>
      <c r="AB285" s="644"/>
      <c r="AC285" s="644"/>
      <c r="AD285" s="644"/>
      <c r="AE285" s="644"/>
      <c r="AF285" s="204">
        <f t="shared" si="72"/>
        <v>0</v>
      </c>
    </row>
    <row r="286" spans="2:32" x14ac:dyDescent="0.2">
      <c r="B286" s="200">
        <f t="shared" si="73"/>
        <v>1.0833333333333333</v>
      </c>
      <c r="C286" s="200">
        <f t="shared" si="74"/>
        <v>1.125</v>
      </c>
      <c r="D286" s="271">
        <f t="shared" si="71"/>
        <v>3</v>
      </c>
      <c r="E286" s="202" t="s">
        <v>340</v>
      </c>
      <c r="F286" s="203" t="s">
        <v>358</v>
      </c>
      <c r="G286" s="644"/>
      <c r="H286" s="644"/>
      <c r="I286" s="644"/>
      <c r="J286" s="644"/>
      <c r="K286" s="644"/>
      <c r="L286" s="644"/>
      <c r="M286" s="644"/>
      <c r="N286" s="644"/>
      <c r="O286" s="644"/>
      <c r="P286" s="644"/>
      <c r="Q286" s="644"/>
      <c r="R286" s="644"/>
      <c r="S286" s="644"/>
      <c r="T286" s="644"/>
      <c r="U286" s="644"/>
      <c r="V286" s="644"/>
      <c r="W286" s="644"/>
      <c r="X286" s="644"/>
      <c r="Y286" s="644"/>
      <c r="Z286" s="644"/>
      <c r="AA286" s="644"/>
      <c r="AB286" s="644"/>
      <c r="AC286" s="644"/>
      <c r="AD286" s="644"/>
      <c r="AE286" s="644"/>
      <c r="AF286" s="204">
        <f t="shared" si="72"/>
        <v>0</v>
      </c>
    </row>
    <row r="287" spans="2:32" x14ac:dyDescent="0.2">
      <c r="B287" s="200">
        <f t="shared" si="73"/>
        <v>1.125</v>
      </c>
      <c r="C287" s="200">
        <f t="shared" si="74"/>
        <v>1.1666666666666667</v>
      </c>
      <c r="D287" s="271">
        <f t="shared" si="71"/>
        <v>4</v>
      </c>
      <c r="E287" s="202" t="s">
        <v>340</v>
      </c>
      <c r="F287" s="203" t="s">
        <v>358</v>
      </c>
      <c r="G287" s="644"/>
      <c r="H287" s="644"/>
      <c r="I287" s="644"/>
      <c r="J287" s="644"/>
      <c r="K287" s="644"/>
      <c r="L287" s="644"/>
      <c r="M287" s="644"/>
      <c r="N287" s="644"/>
      <c r="O287" s="644"/>
      <c r="P287" s="644"/>
      <c r="Q287" s="644"/>
      <c r="R287" s="644"/>
      <c r="S287" s="644"/>
      <c r="T287" s="644"/>
      <c r="U287" s="644"/>
      <c r="V287" s="644"/>
      <c r="W287" s="644"/>
      <c r="X287" s="644"/>
      <c r="Y287" s="644"/>
      <c r="Z287" s="644"/>
      <c r="AA287" s="644"/>
      <c r="AB287" s="644"/>
      <c r="AC287" s="644"/>
      <c r="AD287" s="644"/>
      <c r="AE287" s="644"/>
      <c r="AF287" s="204">
        <f t="shared" si="72"/>
        <v>0</v>
      </c>
    </row>
    <row r="288" spans="2:32" x14ac:dyDescent="0.2">
      <c r="B288" s="200">
        <f t="shared" si="73"/>
        <v>1.1666666666666667</v>
      </c>
      <c r="C288" s="200">
        <f t="shared" si="74"/>
        <v>1.2083333333333335</v>
      </c>
      <c r="D288" s="271">
        <f t="shared" si="71"/>
        <v>5</v>
      </c>
      <c r="E288" s="202" t="s">
        <v>340</v>
      </c>
      <c r="F288" s="203" t="s">
        <v>358</v>
      </c>
      <c r="G288" s="644"/>
      <c r="H288" s="644"/>
      <c r="I288" s="644"/>
      <c r="J288" s="644"/>
      <c r="K288" s="644"/>
      <c r="L288" s="644"/>
      <c r="M288" s="644"/>
      <c r="N288" s="644"/>
      <c r="O288" s="644"/>
      <c r="P288" s="644"/>
      <c r="Q288" s="644"/>
      <c r="R288" s="644"/>
      <c r="S288" s="644"/>
      <c r="T288" s="644"/>
      <c r="U288" s="644"/>
      <c r="V288" s="644"/>
      <c r="W288" s="644"/>
      <c r="X288" s="644"/>
      <c r="Y288" s="644"/>
      <c r="Z288" s="644"/>
      <c r="AA288" s="644"/>
      <c r="AB288" s="644"/>
      <c r="AC288" s="644"/>
      <c r="AD288" s="644"/>
      <c r="AE288" s="644"/>
      <c r="AF288" s="204">
        <f t="shared" ref="AF288:AF301" si="75">SUM(G288:AE288)</f>
        <v>0</v>
      </c>
    </row>
    <row r="289" spans="2:32" x14ac:dyDescent="0.2">
      <c r="B289" s="200">
        <f t="shared" si="73"/>
        <v>1.2083333333333335</v>
      </c>
      <c r="C289" s="200">
        <f t="shared" si="74"/>
        <v>1.2500000000000002</v>
      </c>
      <c r="D289" s="271">
        <f t="shared" si="71"/>
        <v>6</v>
      </c>
      <c r="E289" s="202" t="s">
        <v>340</v>
      </c>
      <c r="F289" s="203" t="s">
        <v>358</v>
      </c>
      <c r="G289" s="644"/>
      <c r="H289" s="644"/>
      <c r="I289" s="644"/>
      <c r="J289" s="644"/>
      <c r="K289" s="644"/>
      <c r="L289" s="644"/>
      <c r="M289" s="644"/>
      <c r="N289" s="644"/>
      <c r="O289" s="644"/>
      <c r="P289" s="644"/>
      <c r="Q289" s="644"/>
      <c r="R289" s="644"/>
      <c r="S289" s="644"/>
      <c r="T289" s="644"/>
      <c r="U289" s="644"/>
      <c r="V289" s="644"/>
      <c r="W289" s="644"/>
      <c r="X289" s="644"/>
      <c r="Y289" s="644"/>
      <c r="Z289" s="644"/>
      <c r="AA289" s="644"/>
      <c r="AB289" s="644"/>
      <c r="AC289" s="644"/>
      <c r="AD289" s="644"/>
      <c r="AE289" s="644"/>
      <c r="AF289" s="204">
        <f t="shared" si="75"/>
        <v>0</v>
      </c>
    </row>
    <row r="290" spans="2:32" x14ac:dyDescent="0.2">
      <c r="B290" s="200">
        <f t="shared" si="73"/>
        <v>1.2500000000000002</v>
      </c>
      <c r="C290" s="200">
        <f t="shared" si="74"/>
        <v>1.291666666666667</v>
      </c>
      <c r="D290" s="271">
        <f t="shared" si="71"/>
        <v>7</v>
      </c>
      <c r="E290" s="202" t="s">
        <v>340</v>
      </c>
      <c r="F290" s="203" t="s">
        <v>358</v>
      </c>
      <c r="G290" s="644"/>
      <c r="H290" s="644"/>
      <c r="I290" s="644"/>
      <c r="J290" s="644"/>
      <c r="K290" s="644"/>
      <c r="L290" s="644"/>
      <c r="M290" s="644"/>
      <c r="N290" s="644"/>
      <c r="O290" s="644"/>
      <c r="P290" s="644"/>
      <c r="Q290" s="644"/>
      <c r="R290" s="644"/>
      <c r="S290" s="644"/>
      <c r="T290" s="644"/>
      <c r="U290" s="644"/>
      <c r="V290" s="644"/>
      <c r="W290" s="644"/>
      <c r="X290" s="644"/>
      <c r="Y290" s="644"/>
      <c r="Z290" s="644"/>
      <c r="AA290" s="644"/>
      <c r="AB290" s="644"/>
      <c r="AC290" s="644"/>
      <c r="AD290" s="644"/>
      <c r="AE290" s="644"/>
      <c r="AF290" s="204">
        <f t="shared" si="75"/>
        <v>0</v>
      </c>
    </row>
    <row r="291" spans="2:32" x14ac:dyDescent="0.2">
      <c r="B291" s="200">
        <f t="shared" si="73"/>
        <v>1.291666666666667</v>
      </c>
      <c r="C291" s="200">
        <f t="shared" si="74"/>
        <v>1.3333333333333337</v>
      </c>
      <c r="D291" s="271">
        <f t="shared" si="71"/>
        <v>8</v>
      </c>
      <c r="E291" s="202" t="s">
        <v>340</v>
      </c>
      <c r="F291" s="203" t="s">
        <v>358</v>
      </c>
      <c r="G291" s="644"/>
      <c r="H291" s="644"/>
      <c r="I291" s="644"/>
      <c r="J291" s="644"/>
      <c r="K291" s="644"/>
      <c r="L291" s="644"/>
      <c r="M291" s="644"/>
      <c r="N291" s="644"/>
      <c r="O291" s="644"/>
      <c r="P291" s="644"/>
      <c r="Q291" s="644"/>
      <c r="R291" s="644"/>
      <c r="S291" s="644"/>
      <c r="T291" s="644"/>
      <c r="U291" s="644"/>
      <c r="V291" s="644"/>
      <c r="W291" s="644"/>
      <c r="X291" s="644"/>
      <c r="Y291" s="644"/>
      <c r="Z291" s="644"/>
      <c r="AA291" s="644"/>
      <c r="AB291" s="644"/>
      <c r="AC291" s="644"/>
      <c r="AD291" s="644"/>
      <c r="AE291" s="644"/>
      <c r="AF291" s="204">
        <f t="shared" si="75"/>
        <v>0</v>
      </c>
    </row>
    <row r="292" spans="2:32" x14ac:dyDescent="0.2">
      <c r="B292" s="200">
        <f t="shared" si="73"/>
        <v>1.3333333333333337</v>
      </c>
      <c r="C292" s="200">
        <f t="shared" si="74"/>
        <v>1.3750000000000004</v>
      </c>
      <c r="D292" s="271">
        <f t="shared" si="71"/>
        <v>9</v>
      </c>
      <c r="E292" s="202" t="s">
        <v>340</v>
      </c>
      <c r="F292" s="203" t="s">
        <v>358</v>
      </c>
      <c r="G292" s="644"/>
      <c r="H292" s="644"/>
      <c r="I292" s="644"/>
      <c r="J292" s="644"/>
      <c r="K292" s="644"/>
      <c r="L292" s="644"/>
      <c r="M292" s="644"/>
      <c r="N292" s="644"/>
      <c r="O292" s="644"/>
      <c r="P292" s="644"/>
      <c r="Q292" s="644"/>
      <c r="R292" s="644"/>
      <c r="S292" s="644"/>
      <c r="T292" s="644"/>
      <c r="U292" s="644"/>
      <c r="V292" s="644"/>
      <c r="W292" s="644"/>
      <c r="X292" s="644"/>
      <c r="Y292" s="644"/>
      <c r="Z292" s="644"/>
      <c r="AA292" s="644"/>
      <c r="AB292" s="644"/>
      <c r="AC292" s="644"/>
      <c r="AD292" s="644"/>
      <c r="AE292" s="644"/>
      <c r="AF292" s="204">
        <f t="shared" si="75"/>
        <v>0</v>
      </c>
    </row>
    <row r="293" spans="2:32" x14ac:dyDescent="0.2">
      <c r="B293" s="200">
        <f t="shared" si="73"/>
        <v>1.3750000000000004</v>
      </c>
      <c r="C293" s="200">
        <f t="shared" si="74"/>
        <v>1.4166666666666672</v>
      </c>
      <c r="D293" s="271">
        <f t="shared" si="71"/>
        <v>10</v>
      </c>
      <c r="E293" s="202" t="s">
        <v>340</v>
      </c>
      <c r="F293" s="203" t="s">
        <v>358</v>
      </c>
      <c r="G293" s="644"/>
      <c r="H293" s="644"/>
      <c r="I293" s="644"/>
      <c r="J293" s="644"/>
      <c r="K293" s="644"/>
      <c r="L293" s="644"/>
      <c r="M293" s="644"/>
      <c r="N293" s="644"/>
      <c r="O293" s="644"/>
      <c r="P293" s="644"/>
      <c r="Q293" s="644"/>
      <c r="R293" s="644"/>
      <c r="S293" s="644"/>
      <c r="T293" s="644"/>
      <c r="U293" s="644"/>
      <c r="V293" s="644"/>
      <c r="W293" s="644"/>
      <c r="X293" s="644"/>
      <c r="Y293" s="644"/>
      <c r="Z293" s="644"/>
      <c r="AA293" s="644"/>
      <c r="AB293" s="644"/>
      <c r="AC293" s="644"/>
      <c r="AD293" s="644"/>
      <c r="AE293" s="644"/>
      <c r="AF293" s="204">
        <f t="shared" si="75"/>
        <v>0</v>
      </c>
    </row>
    <row r="294" spans="2:32" x14ac:dyDescent="0.2">
      <c r="B294" s="200">
        <f t="shared" si="73"/>
        <v>1.4166666666666672</v>
      </c>
      <c r="C294" s="200">
        <f t="shared" si="74"/>
        <v>1.4583333333333339</v>
      </c>
      <c r="D294" s="271">
        <f t="shared" si="71"/>
        <v>11</v>
      </c>
      <c r="E294" s="202" t="s">
        <v>340</v>
      </c>
      <c r="F294" s="203" t="s">
        <v>358</v>
      </c>
      <c r="G294" s="644"/>
      <c r="H294" s="644"/>
      <c r="I294" s="644"/>
      <c r="J294" s="644"/>
      <c r="K294" s="644"/>
      <c r="L294" s="644"/>
      <c r="M294" s="644"/>
      <c r="N294" s="644"/>
      <c r="O294" s="644"/>
      <c r="P294" s="644"/>
      <c r="Q294" s="644"/>
      <c r="R294" s="644"/>
      <c r="S294" s="644"/>
      <c r="T294" s="644"/>
      <c r="U294" s="644"/>
      <c r="V294" s="644"/>
      <c r="W294" s="644"/>
      <c r="X294" s="644"/>
      <c r="Y294" s="644"/>
      <c r="Z294" s="644"/>
      <c r="AA294" s="644"/>
      <c r="AB294" s="644"/>
      <c r="AC294" s="644"/>
      <c r="AD294" s="644"/>
      <c r="AE294" s="644"/>
      <c r="AF294" s="204">
        <f t="shared" si="75"/>
        <v>0</v>
      </c>
    </row>
    <row r="295" spans="2:32" x14ac:dyDescent="0.2">
      <c r="B295" s="200">
        <f t="shared" si="73"/>
        <v>1.4583333333333339</v>
      </c>
      <c r="C295" s="200">
        <f t="shared" si="74"/>
        <v>1.5000000000000007</v>
      </c>
      <c r="D295" s="271">
        <f t="shared" si="71"/>
        <v>12</v>
      </c>
      <c r="E295" s="202" t="s">
        <v>340</v>
      </c>
      <c r="F295" s="203" t="s">
        <v>358</v>
      </c>
      <c r="G295" s="644"/>
      <c r="H295" s="644"/>
      <c r="I295" s="644"/>
      <c r="J295" s="644"/>
      <c r="K295" s="644"/>
      <c r="L295" s="644"/>
      <c r="M295" s="644"/>
      <c r="N295" s="644"/>
      <c r="O295" s="644"/>
      <c r="P295" s="644"/>
      <c r="Q295" s="644"/>
      <c r="R295" s="644"/>
      <c r="S295" s="644"/>
      <c r="T295" s="644"/>
      <c r="U295" s="644"/>
      <c r="V295" s="644"/>
      <c r="W295" s="644"/>
      <c r="X295" s="644"/>
      <c r="Y295" s="644"/>
      <c r="Z295" s="644"/>
      <c r="AA295" s="644"/>
      <c r="AB295" s="644"/>
      <c r="AC295" s="644"/>
      <c r="AD295" s="644"/>
      <c r="AE295" s="644"/>
      <c r="AF295" s="204">
        <f t="shared" si="75"/>
        <v>0</v>
      </c>
    </row>
    <row r="296" spans="2:32" x14ac:dyDescent="0.2">
      <c r="B296" s="200">
        <f t="shared" si="73"/>
        <v>1.5000000000000007</v>
      </c>
      <c r="C296" s="200">
        <f t="shared" si="74"/>
        <v>1.5416666666666674</v>
      </c>
      <c r="D296" s="271">
        <f t="shared" si="71"/>
        <v>13</v>
      </c>
      <c r="E296" s="202" t="s">
        <v>340</v>
      </c>
      <c r="F296" s="203" t="s">
        <v>358</v>
      </c>
      <c r="G296" s="644"/>
      <c r="H296" s="644"/>
      <c r="I296" s="644"/>
      <c r="J296" s="644"/>
      <c r="K296" s="644"/>
      <c r="L296" s="644"/>
      <c r="M296" s="644"/>
      <c r="N296" s="644"/>
      <c r="O296" s="644"/>
      <c r="P296" s="644"/>
      <c r="Q296" s="644"/>
      <c r="R296" s="644"/>
      <c r="S296" s="644"/>
      <c r="T296" s="644"/>
      <c r="U296" s="644"/>
      <c r="V296" s="644"/>
      <c r="W296" s="644"/>
      <c r="X296" s="644"/>
      <c r="Y296" s="644"/>
      <c r="Z296" s="644"/>
      <c r="AA296" s="644"/>
      <c r="AB296" s="644"/>
      <c r="AC296" s="644"/>
      <c r="AD296" s="644"/>
      <c r="AE296" s="644"/>
      <c r="AF296" s="204">
        <f t="shared" si="75"/>
        <v>0</v>
      </c>
    </row>
    <row r="297" spans="2:32" x14ac:dyDescent="0.2">
      <c r="B297" s="200">
        <f t="shared" si="73"/>
        <v>1.5416666666666674</v>
      </c>
      <c r="C297" s="200">
        <f t="shared" si="74"/>
        <v>1.5833333333333341</v>
      </c>
      <c r="D297" s="271">
        <f t="shared" si="71"/>
        <v>14</v>
      </c>
      <c r="E297" s="202" t="s">
        <v>340</v>
      </c>
      <c r="F297" s="203" t="s">
        <v>358</v>
      </c>
      <c r="G297" s="644"/>
      <c r="H297" s="644"/>
      <c r="I297" s="644"/>
      <c r="J297" s="644"/>
      <c r="K297" s="644"/>
      <c r="L297" s="644"/>
      <c r="M297" s="644"/>
      <c r="N297" s="644"/>
      <c r="O297" s="644"/>
      <c r="P297" s="644"/>
      <c r="Q297" s="644"/>
      <c r="R297" s="644"/>
      <c r="S297" s="644"/>
      <c r="T297" s="644"/>
      <c r="U297" s="644"/>
      <c r="V297" s="644"/>
      <c r="W297" s="644"/>
      <c r="X297" s="644"/>
      <c r="Y297" s="644"/>
      <c r="Z297" s="644"/>
      <c r="AA297" s="644"/>
      <c r="AB297" s="644"/>
      <c r="AC297" s="644"/>
      <c r="AD297" s="644"/>
      <c r="AE297" s="644"/>
      <c r="AF297" s="204">
        <f t="shared" si="75"/>
        <v>0</v>
      </c>
    </row>
    <row r="298" spans="2:32" x14ac:dyDescent="0.2">
      <c r="B298" s="200">
        <f t="shared" si="73"/>
        <v>1.5833333333333341</v>
      </c>
      <c r="C298" s="200">
        <f t="shared" si="74"/>
        <v>1.6250000000000009</v>
      </c>
      <c r="D298" s="271">
        <f t="shared" si="71"/>
        <v>15</v>
      </c>
      <c r="E298" s="202" t="s">
        <v>340</v>
      </c>
      <c r="F298" s="203" t="s">
        <v>358</v>
      </c>
      <c r="G298" s="644"/>
      <c r="H298" s="644"/>
      <c r="I298" s="644"/>
      <c r="J298" s="644"/>
      <c r="K298" s="644"/>
      <c r="L298" s="644"/>
      <c r="M298" s="644"/>
      <c r="N298" s="644"/>
      <c r="O298" s="644"/>
      <c r="P298" s="644"/>
      <c r="Q298" s="644"/>
      <c r="R298" s="644"/>
      <c r="S298" s="644"/>
      <c r="T298" s="644"/>
      <c r="U298" s="644"/>
      <c r="V298" s="644"/>
      <c r="W298" s="644"/>
      <c r="X298" s="644"/>
      <c r="Y298" s="644"/>
      <c r="Z298" s="644"/>
      <c r="AA298" s="644"/>
      <c r="AB298" s="644"/>
      <c r="AC298" s="644"/>
      <c r="AD298" s="644"/>
      <c r="AE298" s="644"/>
      <c r="AF298" s="204">
        <f t="shared" si="75"/>
        <v>0</v>
      </c>
    </row>
    <row r="299" spans="2:32" x14ac:dyDescent="0.2">
      <c r="B299" s="200">
        <f t="shared" si="73"/>
        <v>1.6250000000000009</v>
      </c>
      <c r="C299" s="200">
        <f t="shared" si="74"/>
        <v>1.6666666666666676</v>
      </c>
      <c r="D299" s="271">
        <f t="shared" si="71"/>
        <v>16</v>
      </c>
      <c r="E299" s="202" t="s">
        <v>340</v>
      </c>
      <c r="F299" s="203" t="s">
        <v>358</v>
      </c>
      <c r="G299" s="644"/>
      <c r="H299" s="644"/>
      <c r="I299" s="644"/>
      <c r="J299" s="644"/>
      <c r="K299" s="644"/>
      <c r="L299" s="644"/>
      <c r="M299" s="644"/>
      <c r="N299" s="644"/>
      <c r="O299" s="644"/>
      <c r="P299" s="644"/>
      <c r="Q299" s="644"/>
      <c r="R299" s="644"/>
      <c r="S299" s="644"/>
      <c r="T299" s="644"/>
      <c r="U299" s="644"/>
      <c r="V299" s="644"/>
      <c r="W299" s="644"/>
      <c r="X299" s="644"/>
      <c r="Y299" s="644"/>
      <c r="Z299" s="644"/>
      <c r="AA299" s="644"/>
      <c r="AB299" s="644"/>
      <c r="AC299" s="644"/>
      <c r="AD299" s="644"/>
      <c r="AE299" s="644"/>
      <c r="AF299" s="204">
        <f t="shared" si="75"/>
        <v>0</v>
      </c>
    </row>
    <row r="300" spans="2:32" x14ac:dyDescent="0.2">
      <c r="B300" s="200">
        <f t="shared" si="73"/>
        <v>1.6666666666666676</v>
      </c>
      <c r="C300" s="200">
        <f t="shared" si="74"/>
        <v>1.7083333333333344</v>
      </c>
      <c r="D300" s="271">
        <f t="shared" si="71"/>
        <v>17</v>
      </c>
      <c r="E300" s="202" t="s">
        <v>340</v>
      </c>
      <c r="F300" s="203" t="s">
        <v>358</v>
      </c>
      <c r="G300" s="644"/>
      <c r="H300" s="644"/>
      <c r="I300" s="644"/>
      <c r="J300" s="644"/>
      <c r="K300" s="644"/>
      <c r="L300" s="644"/>
      <c r="M300" s="644"/>
      <c r="N300" s="644"/>
      <c r="O300" s="644"/>
      <c r="P300" s="644"/>
      <c r="Q300" s="644"/>
      <c r="R300" s="644"/>
      <c r="S300" s="644"/>
      <c r="T300" s="644"/>
      <c r="U300" s="644"/>
      <c r="V300" s="644"/>
      <c r="W300" s="644"/>
      <c r="X300" s="644"/>
      <c r="Y300" s="644"/>
      <c r="Z300" s="644"/>
      <c r="AA300" s="644"/>
      <c r="AB300" s="644"/>
      <c r="AC300" s="644"/>
      <c r="AD300" s="644"/>
      <c r="AE300" s="644"/>
      <c r="AF300" s="204">
        <f t="shared" si="75"/>
        <v>0</v>
      </c>
    </row>
    <row r="301" spans="2:32" x14ac:dyDescent="0.2">
      <c r="B301" s="200">
        <f t="shared" si="73"/>
        <v>1.7083333333333344</v>
      </c>
      <c r="C301" s="200">
        <f t="shared" si="74"/>
        <v>1.7500000000000011</v>
      </c>
      <c r="D301" s="271">
        <f t="shared" si="71"/>
        <v>18</v>
      </c>
      <c r="E301" s="202" t="s">
        <v>361</v>
      </c>
      <c r="F301" s="203" t="s">
        <v>358</v>
      </c>
      <c r="G301" s="644"/>
      <c r="H301" s="644"/>
      <c r="I301" s="644"/>
      <c r="J301" s="644"/>
      <c r="K301" s="644"/>
      <c r="L301" s="644"/>
      <c r="M301" s="644"/>
      <c r="N301" s="644"/>
      <c r="O301" s="644"/>
      <c r="P301" s="644"/>
      <c r="Q301" s="644"/>
      <c r="R301" s="644"/>
      <c r="S301" s="644"/>
      <c r="T301" s="644"/>
      <c r="U301" s="644"/>
      <c r="V301" s="644"/>
      <c r="W301" s="644"/>
      <c r="X301" s="644"/>
      <c r="Y301" s="644"/>
      <c r="Z301" s="644"/>
      <c r="AA301" s="644"/>
      <c r="AB301" s="644"/>
      <c r="AC301" s="644"/>
      <c r="AD301" s="644"/>
      <c r="AE301" s="644"/>
      <c r="AF301" s="204">
        <f t="shared" si="75"/>
        <v>0</v>
      </c>
    </row>
    <row r="302" spans="2:32" x14ac:dyDescent="0.2">
      <c r="B302" s="205"/>
      <c r="C302" s="205" t="s">
        <v>622</v>
      </c>
      <c r="D302" s="205"/>
      <c r="E302" s="205"/>
      <c r="F302" s="205" t="s">
        <v>356</v>
      </c>
      <c r="G302" s="206">
        <f t="shared" ref="G302:R302" si="76">MAX(G278:G280)</f>
        <v>0</v>
      </c>
      <c r="H302" s="206">
        <f t="shared" si="76"/>
        <v>0</v>
      </c>
      <c r="I302" s="206">
        <f t="shared" si="76"/>
        <v>0</v>
      </c>
      <c r="J302" s="206">
        <f t="shared" si="76"/>
        <v>0</v>
      </c>
      <c r="K302" s="206">
        <f t="shared" si="76"/>
        <v>0</v>
      </c>
      <c r="L302" s="206">
        <f t="shared" si="76"/>
        <v>0</v>
      </c>
      <c r="M302" s="206">
        <f t="shared" si="76"/>
        <v>0</v>
      </c>
      <c r="N302" s="206">
        <f t="shared" si="76"/>
        <v>0</v>
      </c>
      <c r="O302" s="206">
        <f t="shared" si="76"/>
        <v>0</v>
      </c>
      <c r="P302" s="206">
        <f t="shared" si="76"/>
        <v>0</v>
      </c>
      <c r="Q302" s="206">
        <f t="shared" si="76"/>
        <v>0</v>
      </c>
      <c r="R302" s="206">
        <f t="shared" si="76"/>
        <v>0</v>
      </c>
      <c r="S302" s="206">
        <f t="shared" ref="S302:AF302" si="77">MAX(S278:S280)</f>
        <v>0</v>
      </c>
      <c r="T302" s="206">
        <f t="shared" si="77"/>
        <v>0</v>
      </c>
      <c r="U302" s="206">
        <f t="shared" si="77"/>
        <v>0</v>
      </c>
      <c r="V302" s="206">
        <f t="shared" si="77"/>
        <v>0</v>
      </c>
      <c r="W302" s="206">
        <f t="shared" si="77"/>
        <v>0</v>
      </c>
      <c r="X302" s="206">
        <f t="shared" si="77"/>
        <v>0</v>
      </c>
      <c r="Y302" s="206">
        <f t="shared" si="77"/>
        <v>0</v>
      </c>
      <c r="Z302" s="206">
        <f t="shared" si="77"/>
        <v>0</v>
      </c>
      <c r="AA302" s="206">
        <f t="shared" si="77"/>
        <v>0</v>
      </c>
      <c r="AB302" s="206">
        <f t="shared" si="77"/>
        <v>0</v>
      </c>
      <c r="AC302" s="206">
        <f t="shared" si="77"/>
        <v>0</v>
      </c>
      <c r="AD302" s="206">
        <f t="shared" si="77"/>
        <v>0</v>
      </c>
      <c r="AE302" s="206">
        <f t="shared" si="77"/>
        <v>0</v>
      </c>
      <c r="AF302" s="206">
        <f t="shared" si="77"/>
        <v>0</v>
      </c>
    </row>
    <row r="303" spans="2:32" x14ac:dyDescent="0.2">
      <c r="B303" s="205"/>
      <c r="C303" s="205" t="s">
        <v>622</v>
      </c>
      <c r="D303" s="205"/>
      <c r="E303" s="205"/>
      <c r="F303" s="205" t="s">
        <v>358</v>
      </c>
      <c r="G303" s="206">
        <f t="shared" ref="G303:R303" si="78">MAX(G281:G301)</f>
        <v>0</v>
      </c>
      <c r="H303" s="206">
        <f t="shared" si="78"/>
        <v>0</v>
      </c>
      <c r="I303" s="206">
        <f t="shared" si="78"/>
        <v>0</v>
      </c>
      <c r="J303" s="206">
        <f t="shared" si="78"/>
        <v>0</v>
      </c>
      <c r="K303" s="206">
        <f t="shared" si="78"/>
        <v>0</v>
      </c>
      <c r="L303" s="206">
        <f t="shared" si="78"/>
        <v>0</v>
      </c>
      <c r="M303" s="206">
        <f t="shared" si="78"/>
        <v>0</v>
      </c>
      <c r="N303" s="206">
        <f t="shared" si="78"/>
        <v>0</v>
      </c>
      <c r="O303" s="206">
        <f t="shared" si="78"/>
        <v>0</v>
      </c>
      <c r="P303" s="206">
        <f t="shared" si="78"/>
        <v>0</v>
      </c>
      <c r="Q303" s="206">
        <f t="shared" si="78"/>
        <v>0</v>
      </c>
      <c r="R303" s="206">
        <f t="shared" si="78"/>
        <v>0</v>
      </c>
      <c r="S303" s="206">
        <f t="shared" ref="S303:AF303" si="79">MAX(S281:S301)</f>
        <v>0</v>
      </c>
      <c r="T303" s="206">
        <f t="shared" si="79"/>
        <v>0</v>
      </c>
      <c r="U303" s="206">
        <f t="shared" si="79"/>
        <v>0</v>
      </c>
      <c r="V303" s="206">
        <f t="shared" si="79"/>
        <v>0</v>
      </c>
      <c r="W303" s="206">
        <f t="shared" si="79"/>
        <v>0</v>
      </c>
      <c r="X303" s="206">
        <f t="shared" si="79"/>
        <v>0</v>
      </c>
      <c r="Y303" s="206">
        <f t="shared" si="79"/>
        <v>0</v>
      </c>
      <c r="Z303" s="206">
        <f t="shared" si="79"/>
        <v>0</v>
      </c>
      <c r="AA303" s="206">
        <f t="shared" si="79"/>
        <v>0</v>
      </c>
      <c r="AB303" s="206">
        <f t="shared" si="79"/>
        <v>0</v>
      </c>
      <c r="AC303" s="206">
        <f t="shared" si="79"/>
        <v>0</v>
      </c>
      <c r="AD303" s="206">
        <f t="shared" si="79"/>
        <v>0</v>
      </c>
      <c r="AE303" s="206">
        <f t="shared" si="79"/>
        <v>0</v>
      </c>
      <c r="AF303" s="206">
        <f t="shared" si="79"/>
        <v>0</v>
      </c>
    </row>
    <row r="304" spans="2:32" x14ac:dyDescent="0.2">
      <c r="B304" s="205"/>
      <c r="C304" s="205"/>
      <c r="D304" s="205"/>
      <c r="E304" s="205"/>
      <c r="F304" s="205" t="s">
        <v>710</v>
      </c>
      <c r="G304" s="645"/>
      <c r="H304" s="645"/>
      <c r="I304" s="645"/>
      <c r="J304" s="645"/>
      <c r="K304" s="645"/>
      <c r="L304" s="645"/>
      <c r="M304" s="645"/>
      <c r="N304" s="645"/>
      <c r="O304" s="645"/>
      <c r="P304" s="645"/>
      <c r="Q304" s="645"/>
      <c r="R304" s="645"/>
      <c r="S304" s="645"/>
      <c r="T304" s="645"/>
      <c r="U304" s="645"/>
      <c r="V304" s="645"/>
      <c r="W304" s="645"/>
      <c r="X304" s="645"/>
      <c r="Y304" s="645"/>
      <c r="Z304" s="645"/>
      <c r="AA304" s="645"/>
      <c r="AB304" s="645"/>
      <c r="AC304" s="645"/>
      <c r="AD304" s="645"/>
      <c r="AE304" s="645"/>
      <c r="AF304" s="270"/>
    </row>
    <row r="305" spans="2:32" x14ac:dyDescent="0.2">
      <c r="B305" s="205"/>
      <c r="C305" s="205"/>
      <c r="D305" s="205"/>
      <c r="E305" s="205"/>
      <c r="F305" s="205" t="s">
        <v>702</v>
      </c>
      <c r="G305" s="645"/>
      <c r="H305" s="645"/>
      <c r="I305" s="645"/>
      <c r="J305" s="645"/>
      <c r="K305" s="645"/>
      <c r="L305" s="645"/>
      <c r="M305" s="645"/>
      <c r="N305" s="645"/>
      <c r="O305" s="645"/>
      <c r="P305" s="645"/>
      <c r="Q305" s="645"/>
      <c r="R305" s="645"/>
      <c r="S305" s="645"/>
      <c r="T305" s="645"/>
      <c r="U305" s="645"/>
      <c r="V305" s="645"/>
      <c r="W305" s="645"/>
      <c r="X305" s="645"/>
      <c r="Y305" s="645"/>
      <c r="Z305" s="645"/>
      <c r="AA305" s="645"/>
      <c r="AB305" s="645"/>
      <c r="AC305" s="645"/>
      <c r="AD305" s="645"/>
      <c r="AE305" s="645"/>
      <c r="AF305" s="270"/>
    </row>
    <row r="306" spans="2:32" x14ac:dyDescent="0.2">
      <c r="B306" s="205"/>
      <c r="C306" s="205"/>
      <c r="D306" s="205"/>
      <c r="E306" s="205"/>
      <c r="F306" s="205" t="s">
        <v>711</v>
      </c>
      <c r="G306" s="645"/>
      <c r="H306" s="645"/>
      <c r="I306" s="645"/>
      <c r="J306" s="645"/>
      <c r="K306" s="645"/>
      <c r="L306" s="645"/>
      <c r="M306" s="645"/>
      <c r="N306" s="645"/>
      <c r="O306" s="645"/>
      <c r="P306" s="645"/>
      <c r="Q306" s="645"/>
      <c r="R306" s="645"/>
      <c r="S306" s="645"/>
      <c r="T306" s="645"/>
      <c r="U306" s="645"/>
      <c r="V306" s="645"/>
      <c r="W306" s="645"/>
      <c r="X306" s="645"/>
      <c r="Y306" s="645"/>
      <c r="Z306" s="645"/>
      <c r="AA306" s="645"/>
      <c r="AB306" s="645"/>
      <c r="AC306" s="645"/>
      <c r="AD306" s="645"/>
      <c r="AE306" s="645"/>
      <c r="AF306" s="270"/>
    </row>
    <row r="308" spans="2:32" x14ac:dyDescent="0.2">
      <c r="B308" s="803" t="s">
        <v>7</v>
      </c>
      <c r="C308" s="804"/>
      <c r="D308" s="800"/>
      <c r="E308" s="801"/>
      <c r="F308" s="802"/>
      <c r="G308" s="196" t="s">
        <v>7</v>
      </c>
      <c r="H308" s="196" t="s">
        <v>7</v>
      </c>
      <c r="I308" s="196" t="s">
        <v>7</v>
      </c>
      <c r="J308" s="196" t="s">
        <v>7</v>
      </c>
      <c r="K308" s="196" t="s">
        <v>7</v>
      </c>
      <c r="L308" s="196" t="s">
        <v>7</v>
      </c>
      <c r="M308" s="196" t="s">
        <v>7</v>
      </c>
      <c r="N308" s="196" t="s">
        <v>7</v>
      </c>
      <c r="O308" s="196" t="s">
        <v>7</v>
      </c>
      <c r="P308" s="196" t="s">
        <v>7</v>
      </c>
      <c r="Q308" s="196" t="s">
        <v>7</v>
      </c>
      <c r="R308" s="196" t="s">
        <v>7</v>
      </c>
      <c r="S308" s="196" t="s">
        <v>7</v>
      </c>
      <c r="T308" s="196" t="s">
        <v>7</v>
      </c>
      <c r="U308" s="196" t="s">
        <v>7</v>
      </c>
      <c r="V308" s="196" t="s">
        <v>7</v>
      </c>
      <c r="W308" s="196" t="s">
        <v>7</v>
      </c>
      <c r="X308" s="196" t="s">
        <v>7</v>
      </c>
      <c r="Y308" s="196" t="s">
        <v>7</v>
      </c>
      <c r="Z308" s="196" t="s">
        <v>7</v>
      </c>
      <c r="AA308" s="196" t="s">
        <v>7</v>
      </c>
      <c r="AB308" s="196" t="s">
        <v>7</v>
      </c>
      <c r="AC308" s="196" t="s">
        <v>7</v>
      </c>
      <c r="AD308" s="196" t="s">
        <v>7</v>
      </c>
      <c r="AE308" s="196" t="s">
        <v>7</v>
      </c>
      <c r="AF308" s="197"/>
    </row>
    <row r="309" spans="2:32" x14ac:dyDescent="0.2">
      <c r="B309" s="803"/>
      <c r="C309" s="804"/>
      <c r="D309" s="390"/>
      <c r="E309" s="391"/>
      <c r="F309" s="392"/>
      <c r="G309" s="196">
        <v>1</v>
      </c>
      <c r="H309" s="196">
        <v>2</v>
      </c>
      <c r="I309" s="196">
        <v>3</v>
      </c>
      <c r="J309" s="196">
        <v>4</v>
      </c>
      <c r="K309" s="196">
        <v>5</v>
      </c>
      <c r="L309" s="196">
        <v>6</v>
      </c>
      <c r="M309" s="196">
        <v>7</v>
      </c>
      <c r="N309" s="196">
        <v>8</v>
      </c>
      <c r="O309" s="196">
        <v>9</v>
      </c>
      <c r="P309" s="196">
        <v>10</v>
      </c>
      <c r="Q309" s="196">
        <v>11</v>
      </c>
      <c r="R309" s="196">
        <v>12</v>
      </c>
      <c r="S309" s="196">
        <v>13</v>
      </c>
      <c r="T309" s="196">
        <v>14</v>
      </c>
      <c r="U309" s="196">
        <v>15</v>
      </c>
      <c r="V309" s="196">
        <v>16</v>
      </c>
      <c r="W309" s="196">
        <v>17</v>
      </c>
      <c r="X309" s="196">
        <v>18</v>
      </c>
      <c r="Y309" s="196">
        <v>19</v>
      </c>
      <c r="Z309" s="196">
        <v>20</v>
      </c>
      <c r="AA309" s="196">
        <v>21</v>
      </c>
      <c r="AB309" s="196">
        <v>22</v>
      </c>
      <c r="AC309" s="196">
        <v>23</v>
      </c>
      <c r="AD309" s="196">
        <v>24</v>
      </c>
      <c r="AE309" s="196">
        <v>25</v>
      </c>
      <c r="AF309" s="197" t="s">
        <v>620</v>
      </c>
    </row>
    <row r="310" spans="2:32" x14ac:dyDescent="0.2">
      <c r="B310" s="803"/>
      <c r="C310" s="804"/>
      <c r="D310" s="800" t="s">
        <v>48</v>
      </c>
      <c r="E310" s="801"/>
      <c r="F310" s="802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96"/>
      <c r="AD310" s="196"/>
      <c r="AE310" s="196"/>
      <c r="AF310" s="197"/>
    </row>
    <row r="311" spans="2:32" x14ac:dyDescent="0.2">
      <c r="B311" s="803" t="s">
        <v>47</v>
      </c>
      <c r="C311" s="804"/>
      <c r="D311" s="390"/>
      <c r="E311" s="391" t="s">
        <v>360</v>
      </c>
      <c r="F311" s="392"/>
      <c r="G311" s="198" t="s">
        <v>343</v>
      </c>
      <c r="H311" s="198" t="s">
        <v>343</v>
      </c>
      <c r="I311" s="198" t="s">
        <v>343</v>
      </c>
      <c r="J311" s="198" t="s">
        <v>343</v>
      </c>
      <c r="K311" s="198" t="s">
        <v>343</v>
      </c>
      <c r="L311" s="198" t="s">
        <v>343</v>
      </c>
      <c r="M311" s="198" t="s">
        <v>343</v>
      </c>
      <c r="N311" s="198" t="s">
        <v>343</v>
      </c>
      <c r="O311" s="198" t="s">
        <v>343</v>
      </c>
      <c r="P311" s="198" t="s">
        <v>343</v>
      </c>
      <c r="Q311" s="198" t="s">
        <v>343</v>
      </c>
      <c r="R311" s="198" t="s">
        <v>343</v>
      </c>
      <c r="S311" s="198" t="s">
        <v>343</v>
      </c>
      <c r="T311" s="198" t="s">
        <v>343</v>
      </c>
      <c r="U311" s="198" t="s">
        <v>343</v>
      </c>
      <c r="V311" s="198" t="s">
        <v>343</v>
      </c>
      <c r="W311" s="198" t="s">
        <v>343</v>
      </c>
      <c r="X311" s="198" t="s">
        <v>343</v>
      </c>
      <c r="Y311" s="198" t="s">
        <v>343</v>
      </c>
      <c r="Z311" s="198" t="s">
        <v>343</v>
      </c>
      <c r="AA311" s="198" t="s">
        <v>343</v>
      </c>
      <c r="AB311" s="198" t="s">
        <v>343</v>
      </c>
      <c r="AC311" s="198" t="s">
        <v>343</v>
      </c>
      <c r="AD311" s="198" t="s">
        <v>343</v>
      </c>
      <c r="AE311" s="198" t="s">
        <v>343</v>
      </c>
      <c r="AF311" s="199" t="s">
        <v>343</v>
      </c>
    </row>
    <row r="312" spans="2:32" x14ac:dyDescent="0.2">
      <c r="B312" s="200">
        <f>'DADOS-Campanha'!$J$23</f>
        <v>0.75</v>
      </c>
      <c r="C312" s="200">
        <f>B312+$C$1</f>
        <v>0.79166666666666663</v>
      </c>
      <c r="D312" s="271">
        <f t="shared" ref="D312:D335" si="80">HOUR(B312)+HOUR($C$1)</f>
        <v>19</v>
      </c>
      <c r="E312" s="202" t="s">
        <v>339</v>
      </c>
      <c r="F312" s="203" t="s">
        <v>356</v>
      </c>
      <c r="G312" s="644"/>
      <c r="H312" s="644"/>
      <c r="I312" s="644"/>
      <c r="J312" s="644"/>
      <c r="K312" s="644"/>
      <c r="L312" s="644"/>
      <c r="M312" s="644"/>
      <c r="N312" s="644"/>
      <c r="O312" s="644"/>
      <c r="P312" s="644"/>
      <c r="Q312" s="644"/>
      <c r="R312" s="644"/>
      <c r="S312" s="644"/>
      <c r="T312" s="644"/>
      <c r="U312" s="644"/>
      <c r="V312" s="644"/>
      <c r="W312" s="644"/>
      <c r="X312" s="644"/>
      <c r="Y312" s="644"/>
      <c r="Z312" s="644"/>
      <c r="AA312" s="644"/>
      <c r="AB312" s="644"/>
      <c r="AC312" s="644"/>
      <c r="AD312" s="644"/>
      <c r="AE312" s="644"/>
      <c r="AF312" s="204">
        <f t="shared" ref="AF312:AF321" si="81">SUM(G312:AE312)</f>
        <v>0</v>
      </c>
    </row>
    <row r="313" spans="2:32" x14ac:dyDescent="0.2">
      <c r="B313" s="200">
        <f>C312</f>
        <v>0.79166666666666663</v>
      </c>
      <c r="C313" s="200">
        <f>B313+$C$1</f>
        <v>0.83333333333333326</v>
      </c>
      <c r="D313" s="271">
        <f t="shared" si="80"/>
        <v>20</v>
      </c>
      <c r="E313" s="202" t="s">
        <v>339</v>
      </c>
      <c r="F313" s="203" t="s">
        <v>356</v>
      </c>
      <c r="G313" s="644"/>
      <c r="H313" s="644"/>
      <c r="I313" s="644"/>
      <c r="J313" s="644"/>
      <c r="K313" s="644"/>
      <c r="L313" s="644"/>
      <c r="M313" s="644"/>
      <c r="N313" s="644"/>
      <c r="O313" s="644"/>
      <c r="P313" s="644"/>
      <c r="Q313" s="644"/>
      <c r="R313" s="644"/>
      <c r="S313" s="644"/>
      <c r="T313" s="644"/>
      <c r="U313" s="644"/>
      <c r="V313" s="644"/>
      <c r="W313" s="644"/>
      <c r="X313" s="644"/>
      <c r="Y313" s="644"/>
      <c r="Z313" s="644"/>
      <c r="AA313" s="644"/>
      <c r="AB313" s="644"/>
      <c r="AC313" s="644"/>
      <c r="AD313" s="644"/>
      <c r="AE313" s="644"/>
      <c r="AF313" s="204">
        <f t="shared" si="81"/>
        <v>0</v>
      </c>
    </row>
    <row r="314" spans="2:32" x14ac:dyDescent="0.2">
      <c r="B314" s="200">
        <f t="shared" ref="B314:B335" si="82">C313</f>
        <v>0.83333333333333326</v>
      </c>
      <c r="C314" s="200">
        <f t="shared" ref="C314:C335" si="83">B314+$C$1</f>
        <v>0.87499999999999989</v>
      </c>
      <c r="D314" s="271">
        <f t="shared" si="80"/>
        <v>21</v>
      </c>
      <c r="E314" s="202" t="s">
        <v>339</v>
      </c>
      <c r="F314" s="203" t="s">
        <v>356</v>
      </c>
      <c r="G314" s="644"/>
      <c r="H314" s="644"/>
      <c r="I314" s="644"/>
      <c r="J314" s="644"/>
      <c r="K314" s="644"/>
      <c r="L314" s="644"/>
      <c r="M314" s="644"/>
      <c r="N314" s="644"/>
      <c r="O314" s="644"/>
      <c r="P314" s="644"/>
      <c r="Q314" s="644"/>
      <c r="R314" s="644"/>
      <c r="S314" s="644"/>
      <c r="T314" s="644"/>
      <c r="U314" s="644"/>
      <c r="V314" s="644"/>
      <c r="W314" s="644"/>
      <c r="X314" s="644"/>
      <c r="Y314" s="644"/>
      <c r="Z314" s="644"/>
      <c r="AA314" s="644"/>
      <c r="AB314" s="644"/>
      <c r="AC314" s="644"/>
      <c r="AD314" s="644"/>
      <c r="AE314" s="644"/>
      <c r="AF314" s="204">
        <f t="shared" si="81"/>
        <v>0</v>
      </c>
    </row>
    <row r="315" spans="2:32" x14ac:dyDescent="0.2">
      <c r="B315" s="200">
        <f t="shared" si="82"/>
        <v>0.87499999999999989</v>
      </c>
      <c r="C315" s="200">
        <f t="shared" si="83"/>
        <v>0.91666666666666652</v>
      </c>
      <c r="D315" s="271">
        <f t="shared" si="80"/>
        <v>22</v>
      </c>
      <c r="E315" s="202" t="s">
        <v>361</v>
      </c>
      <c r="F315" s="203" t="s">
        <v>358</v>
      </c>
      <c r="G315" s="644"/>
      <c r="H315" s="644"/>
      <c r="I315" s="644"/>
      <c r="J315" s="644"/>
      <c r="K315" s="644"/>
      <c r="L315" s="644"/>
      <c r="M315" s="644"/>
      <c r="N315" s="644"/>
      <c r="O315" s="644"/>
      <c r="P315" s="644"/>
      <c r="Q315" s="644"/>
      <c r="R315" s="644"/>
      <c r="S315" s="644"/>
      <c r="T315" s="644"/>
      <c r="U315" s="644"/>
      <c r="V315" s="644"/>
      <c r="W315" s="644"/>
      <c r="X315" s="644"/>
      <c r="Y315" s="644"/>
      <c r="Z315" s="644"/>
      <c r="AA315" s="644"/>
      <c r="AB315" s="644"/>
      <c r="AC315" s="644"/>
      <c r="AD315" s="644"/>
      <c r="AE315" s="644"/>
      <c r="AF315" s="204">
        <f t="shared" si="81"/>
        <v>0</v>
      </c>
    </row>
    <row r="316" spans="2:32" x14ac:dyDescent="0.2">
      <c r="B316" s="200">
        <f t="shared" si="82"/>
        <v>0.91666666666666652</v>
      </c>
      <c r="C316" s="200">
        <f t="shared" si="83"/>
        <v>0.95833333333333315</v>
      </c>
      <c r="D316" s="271">
        <f t="shared" si="80"/>
        <v>23</v>
      </c>
      <c r="E316" s="202" t="s">
        <v>340</v>
      </c>
      <c r="F316" s="203" t="s">
        <v>358</v>
      </c>
      <c r="G316" s="644"/>
      <c r="H316" s="644"/>
      <c r="I316" s="644"/>
      <c r="J316" s="644"/>
      <c r="K316" s="644"/>
      <c r="L316" s="644"/>
      <c r="M316" s="644"/>
      <c r="N316" s="644"/>
      <c r="O316" s="644"/>
      <c r="P316" s="644"/>
      <c r="Q316" s="644"/>
      <c r="R316" s="644"/>
      <c r="S316" s="644"/>
      <c r="T316" s="644"/>
      <c r="U316" s="644"/>
      <c r="V316" s="644"/>
      <c r="W316" s="644"/>
      <c r="X316" s="644"/>
      <c r="Y316" s="644"/>
      <c r="Z316" s="644"/>
      <c r="AA316" s="644"/>
      <c r="AB316" s="644"/>
      <c r="AC316" s="644"/>
      <c r="AD316" s="644"/>
      <c r="AE316" s="644"/>
      <c r="AF316" s="204">
        <f t="shared" si="81"/>
        <v>0</v>
      </c>
    </row>
    <row r="317" spans="2:32" x14ac:dyDescent="0.2">
      <c r="B317" s="200">
        <f t="shared" si="82"/>
        <v>0.95833333333333315</v>
      </c>
      <c r="C317" s="200">
        <f t="shared" si="83"/>
        <v>0.99999999999999978</v>
      </c>
      <c r="D317" s="271">
        <f t="shared" si="80"/>
        <v>24</v>
      </c>
      <c r="E317" s="202" t="s">
        <v>340</v>
      </c>
      <c r="F317" s="203" t="s">
        <v>358</v>
      </c>
      <c r="G317" s="644"/>
      <c r="H317" s="644"/>
      <c r="I317" s="644"/>
      <c r="J317" s="644"/>
      <c r="K317" s="644"/>
      <c r="L317" s="644"/>
      <c r="M317" s="644"/>
      <c r="N317" s="644"/>
      <c r="O317" s="644"/>
      <c r="P317" s="644"/>
      <c r="Q317" s="644"/>
      <c r="R317" s="644"/>
      <c r="S317" s="644"/>
      <c r="T317" s="644"/>
      <c r="U317" s="644"/>
      <c r="V317" s="644"/>
      <c r="W317" s="644"/>
      <c r="X317" s="644"/>
      <c r="Y317" s="644"/>
      <c r="Z317" s="644"/>
      <c r="AA317" s="644"/>
      <c r="AB317" s="644"/>
      <c r="AC317" s="644"/>
      <c r="AD317" s="644"/>
      <c r="AE317" s="644"/>
      <c r="AF317" s="204">
        <f t="shared" si="81"/>
        <v>0</v>
      </c>
    </row>
    <row r="318" spans="2:32" x14ac:dyDescent="0.2">
      <c r="B318" s="200">
        <f t="shared" si="82"/>
        <v>0.99999999999999978</v>
      </c>
      <c r="C318" s="200">
        <f t="shared" si="83"/>
        <v>1.0416666666666665</v>
      </c>
      <c r="D318" s="271">
        <f t="shared" si="80"/>
        <v>1</v>
      </c>
      <c r="E318" s="202" t="s">
        <v>340</v>
      </c>
      <c r="F318" s="203" t="s">
        <v>358</v>
      </c>
      <c r="G318" s="644"/>
      <c r="H318" s="644"/>
      <c r="I318" s="644"/>
      <c r="J318" s="644"/>
      <c r="K318" s="644"/>
      <c r="L318" s="644"/>
      <c r="M318" s="644"/>
      <c r="N318" s="644"/>
      <c r="O318" s="644"/>
      <c r="P318" s="644"/>
      <c r="Q318" s="644"/>
      <c r="R318" s="644"/>
      <c r="S318" s="644"/>
      <c r="T318" s="644"/>
      <c r="U318" s="644"/>
      <c r="V318" s="644"/>
      <c r="W318" s="644"/>
      <c r="X318" s="644"/>
      <c r="Y318" s="644"/>
      <c r="Z318" s="644"/>
      <c r="AA318" s="644"/>
      <c r="AB318" s="644"/>
      <c r="AC318" s="644"/>
      <c r="AD318" s="644"/>
      <c r="AE318" s="644"/>
      <c r="AF318" s="204">
        <f t="shared" si="81"/>
        <v>0</v>
      </c>
    </row>
    <row r="319" spans="2:32" x14ac:dyDescent="0.2">
      <c r="B319" s="200">
        <f t="shared" si="82"/>
        <v>1.0416666666666665</v>
      </c>
      <c r="C319" s="200">
        <f t="shared" si="83"/>
        <v>1.0833333333333333</v>
      </c>
      <c r="D319" s="271">
        <f t="shared" si="80"/>
        <v>2</v>
      </c>
      <c r="E319" s="202" t="s">
        <v>340</v>
      </c>
      <c r="F319" s="203" t="s">
        <v>358</v>
      </c>
      <c r="G319" s="644"/>
      <c r="H319" s="644"/>
      <c r="I319" s="644"/>
      <c r="J319" s="644"/>
      <c r="K319" s="644"/>
      <c r="L319" s="644"/>
      <c r="M319" s="644"/>
      <c r="N319" s="644"/>
      <c r="O319" s="644"/>
      <c r="P319" s="644"/>
      <c r="Q319" s="644"/>
      <c r="R319" s="644"/>
      <c r="S319" s="644"/>
      <c r="T319" s="644"/>
      <c r="U319" s="644"/>
      <c r="V319" s="644"/>
      <c r="W319" s="644"/>
      <c r="X319" s="644"/>
      <c r="Y319" s="644"/>
      <c r="Z319" s="644"/>
      <c r="AA319" s="644"/>
      <c r="AB319" s="644"/>
      <c r="AC319" s="644"/>
      <c r="AD319" s="644"/>
      <c r="AE319" s="644"/>
      <c r="AF319" s="204">
        <f t="shared" si="81"/>
        <v>0</v>
      </c>
    </row>
    <row r="320" spans="2:32" x14ac:dyDescent="0.2">
      <c r="B320" s="200">
        <f t="shared" si="82"/>
        <v>1.0833333333333333</v>
      </c>
      <c r="C320" s="200">
        <f t="shared" si="83"/>
        <v>1.125</v>
      </c>
      <c r="D320" s="271">
        <f t="shared" si="80"/>
        <v>3</v>
      </c>
      <c r="E320" s="202" t="s">
        <v>340</v>
      </c>
      <c r="F320" s="203" t="s">
        <v>358</v>
      </c>
      <c r="G320" s="644"/>
      <c r="H320" s="644"/>
      <c r="I320" s="644"/>
      <c r="J320" s="644"/>
      <c r="K320" s="644"/>
      <c r="L320" s="644"/>
      <c r="M320" s="644"/>
      <c r="N320" s="644"/>
      <c r="O320" s="644"/>
      <c r="P320" s="644"/>
      <c r="Q320" s="644"/>
      <c r="R320" s="644"/>
      <c r="S320" s="644"/>
      <c r="T320" s="644"/>
      <c r="U320" s="644"/>
      <c r="V320" s="644"/>
      <c r="W320" s="644"/>
      <c r="X320" s="644"/>
      <c r="Y320" s="644"/>
      <c r="Z320" s="644"/>
      <c r="AA320" s="644"/>
      <c r="AB320" s="644"/>
      <c r="AC320" s="644"/>
      <c r="AD320" s="644"/>
      <c r="AE320" s="644"/>
      <c r="AF320" s="204">
        <f t="shared" si="81"/>
        <v>0</v>
      </c>
    </row>
    <row r="321" spans="2:32" x14ac:dyDescent="0.2">
      <c r="B321" s="200">
        <f t="shared" si="82"/>
        <v>1.125</v>
      </c>
      <c r="C321" s="200">
        <f t="shared" si="83"/>
        <v>1.1666666666666667</v>
      </c>
      <c r="D321" s="271">
        <f t="shared" si="80"/>
        <v>4</v>
      </c>
      <c r="E321" s="202" t="s">
        <v>340</v>
      </c>
      <c r="F321" s="203" t="s">
        <v>358</v>
      </c>
      <c r="G321" s="644"/>
      <c r="H321" s="644"/>
      <c r="I321" s="644"/>
      <c r="J321" s="644"/>
      <c r="K321" s="644"/>
      <c r="L321" s="644"/>
      <c r="M321" s="644"/>
      <c r="N321" s="644"/>
      <c r="O321" s="644"/>
      <c r="P321" s="644"/>
      <c r="Q321" s="644"/>
      <c r="R321" s="644"/>
      <c r="S321" s="644"/>
      <c r="T321" s="644"/>
      <c r="U321" s="644"/>
      <c r="V321" s="644"/>
      <c r="W321" s="644"/>
      <c r="X321" s="644"/>
      <c r="Y321" s="644"/>
      <c r="Z321" s="644"/>
      <c r="AA321" s="644"/>
      <c r="AB321" s="644"/>
      <c r="AC321" s="644"/>
      <c r="AD321" s="644"/>
      <c r="AE321" s="644"/>
      <c r="AF321" s="204">
        <f t="shared" si="81"/>
        <v>0</v>
      </c>
    </row>
    <row r="322" spans="2:32" x14ac:dyDescent="0.2">
      <c r="B322" s="200">
        <f t="shared" si="82"/>
        <v>1.1666666666666667</v>
      </c>
      <c r="C322" s="200">
        <f t="shared" si="83"/>
        <v>1.2083333333333335</v>
      </c>
      <c r="D322" s="271">
        <f t="shared" si="80"/>
        <v>5</v>
      </c>
      <c r="E322" s="202" t="s">
        <v>340</v>
      </c>
      <c r="F322" s="203" t="s">
        <v>358</v>
      </c>
      <c r="G322" s="644"/>
      <c r="H322" s="644"/>
      <c r="I322" s="644"/>
      <c r="J322" s="644"/>
      <c r="K322" s="644"/>
      <c r="L322" s="644"/>
      <c r="M322" s="644"/>
      <c r="N322" s="644"/>
      <c r="O322" s="644"/>
      <c r="P322" s="644"/>
      <c r="Q322" s="644"/>
      <c r="R322" s="644"/>
      <c r="S322" s="644"/>
      <c r="T322" s="644"/>
      <c r="U322" s="644"/>
      <c r="V322" s="644"/>
      <c r="W322" s="644"/>
      <c r="X322" s="644"/>
      <c r="Y322" s="644"/>
      <c r="Z322" s="644"/>
      <c r="AA322" s="644"/>
      <c r="AB322" s="644"/>
      <c r="AC322" s="644"/>
      <c r="AD322" s="644"/>
      <c r="AE322" s="644"/>
      <c r="AF322" s="204">
        <f t="shared" ref="AF322:AF335" si="84">SUM(G322:AE322)</f>
        <v>0</v>
      </c>
    </row>
    <row r="323" spans="2:32" x14ac:dyDescent="0.2">
      <c r="B323" s="200">
        <f t="shared" si="82"/>
        <v>1.2083333333333335</v>
      </c>
      <c r="C323" s="200">
        <f t="shared" si="83"/>
        <v>1.2500000000000002</v>
      </c>
      <c r="D323" s="271">
        <f t="shared" si="80"/>
        <v>6</v>
      </c>
      <c r="E323" s="202" t="s">
        <v>340</v>
      </c>
      <c r="F323" s="203" t="s">
        <v>358</v>
      </c>
      <c r="G323" s="644"/>
      <c r="H323" s="644"/>
      <c r="I323" s="644"/>
      <c r="J323" s="644"/>
      <c r="K323" s="644"/>
      <c r="L323" s="644"/>
      <c r="M323" s="644"/>
      <c r="N323" s="644"/>
      <c r="O323" s="644"/>
      <c r="P323" s="644"/>
      <c r="Q323" s="644"/>
      <c r="R323" s="644"/>
      <c r="S323" s="644"/>
      <c r="T323" s="644"/>
      <c r="U323" s="644"/>
      <c r="V323" s="644"/>
      <c r="W323" s="644"/>
      <c r="X323" s="644"/>
      <c r="Y323" s="644"/>
      <c r="Z323" s="644"/>
      <c r="AA323" s="644"/>
      <c r="AB323" s="644"/>
      <c r="AC323" s="644"/>
      <c r="AD323" s="644"/>
      <c r="AE323" s="644"/>
      <c r="AF323" s="204">
        <f t="shared" si="84"/>
        <v>0</v>
      </c>
    </row>
    <row r="324" spans="2:32" x14ac:dyDescent="0.2">
      <c r="B324" s="200">
        <f t="shared" si="82"/>
        <v>1.2500000000000002</v>
      </c>
      <c r="C324" s="200">
        <f t="shared" si="83"/>
        <v>1.291666666666667</v>
      </c>
      <c r="D324" s="271">
        <f t="shared" si="80"/>
        <v>7</v>
      </c>
      <c r="E324" s="202" t="s">
        <v>340</v>
      </c>
      <c r="F324" s="203" t="s">
        <v>358</v>
      </c>
      <c r="G324" s="644"/>
      <c r="H324" s="644"/>
      <c r="I324" s="644"/>
      <c r="J324" s="644"/>
      <c r="K324" s="644"/>
      <c r="L324" s="644"/>
      <c r="M324" s="644"/>
      <c r="N324" s="644"/>
      <c r="O324" s="644"/>
      <c r="P324" s="644"/>
      <c r="Q324" s="644"/>
      <c r="R324" s="644"/>
      <c r="S324" s="644"/>
      <c r="T324" s="644"/>
      <c r="U324" s="644"/>
      <c r="V324" s="644"/>
      <c r="W324" s="644"/>
      <c r="X324" s="644"/>
      <c r="Y324" s="644"/>
      <c r="Z324" s="644"/>
      <c r="AA324" s="644"/>
      <c r="AB324" s="644"/>
      <c r="AC324" s="644"/>
      <c r="AD324" s="644"/>
      <c r="AE324" s="644"/>
      <c r="AF324" s="204">
        <f t="shared" si="84"/>
        <v>0</v>
      </c>
    </row>
    <row r="325" spans="2:32" x14ac:dyDescent="0.2">
      <c r="B325" s="200">
        <f t="shared" si="82"/>
        <v>1.291666666666667</v>
      </c>
      <c r="C325" s="200">
        <f t="shared" si="83"/>
        <v>1.3333333333333337</v>
      </c>
      <c r="D325" s="271">
        <f t="shared" si="80"/>
        <v>8</v>
      </c>
      <c r="E325" s="202" t="s">
        <v>340</v>
      </c>
      <c r="F325" s="203" t="s">
        <v>358</v>
      </c>
      <c r="G325" s="644"/>
      <c r="H325" s="644"/>
      <c r="I325" s="644"/>
      <c r="J325" s="644"/>
      <c r="K325" s="644"/>
      <c r="L325" s="644"/>
      <c r="M325" s="644"/>
      <c r="N325" s="644"/>
      <c r="O325" s="644"/>
      <c r="P325" s="644"/>
      <c r="Q325" s="644"/>
      <c r="R325" s="644"/>
      <c r="S325" s="644"/>
      <c r="T325" s="644"/>
      <c r="U325" s="644"/>
      <c r="V325" s="644"/>
      <c r="W325" s="644"/>
      <c r="X325" s="644"/>
      <c r="Y325" s="644"/>
      <c r="Z325" s="644"/>
      <c r="AA325" s="644"/>
      <c r="AB325" s="644"/>
      <c r="AC325" s="644"/>
      <c r="AD325" s="644"/>
      <c r="AE325" s="644"/>
      <c r="AF325" s="204">
        <f t="shared" si="84"/>
        <v>0</v>
      </c>
    </row>
    <row r="326" spans="2:32" x14ac:dyDescent="0.2">
      <c r="B326" s="200">
        <f t="shared" si="82"/>
        <v>1.3333333333333337</v>
      </c>
      <c r="C326" s="200">
        <f t="shared" si="83"/>
        <v>1.3750000000000004</v>
      </c>
      <c r="D326" s="271">
        <f t="shared" si="80"/>
        <v>9</v>
      </c>
      <c r="E326" s="202" t="s">
        <v>340</v>
      </c>
      <c r="F326" s="203" t="s">
        <v>358</v>
      </c>
      <c r="G326" s="644"/>
      <c r="H326" s="644"/>
      <c r="I326" s="644"/>
      <c r="J326" s="644"/>
      <c r="K326" s="644"/>
      <c r="L326" s="644"/>
      <c r="M326" s="644"/>
      <c r="N326" s="644"/>
      <c r="O326" s="644"/>
      <c r="P326" s="644"/>
      <c r="Q326" s="644"/>
      <c r="R326" s="644"/>
      <c r="S326" s="644"/>
      <c r="T326" s="644"/>
      <c r="U326" s="644"/>
      <c r="V326" s="644"/>
      <c r="W326" s="644"/>
      <c r="X326" s="644"/>
      <c r="Y326" s="644"/>
      <c r="Z326" s="644"/>
      <c r="AA326" s="644"/>
      <c r="AB326" s="644"/>
      <c r="AC326" s="644"/>
      <c r="AD326" s="644"/>
      <c r="AE326" s="644"/>
      <c r="AF326" s="204">
        <f t="shared" si="84"/>
        <v>0</v>
      </c>
    </row>
    <row r="327" spans="2:32" x14ac:dyDescent="0.2">
      <c r="B327" s="200">
        <f t="shared" si="82"/>
        <v>1.3750000000000004</v>
      </c>
      <c r="C327" s="200">
        <f t="shared" si="83"/>
        <v>1.4166666666666672</v>
      </c>
      <c r="D327" s="271">
        <f t="shared" si="80"/>
        <v>10</v>
      </c>
      <c r="E327" s="202" t="s">
        <v>340</v>
      </c>
      <c r="F327" s="203" t="s">
        <v>358</v>
      </c>
      <c r="G327" s="644"/>
      <c r="H327" s="644"/>
      <c r="I327" s="644"/>
      <c r="J327" s="644"/>
      <c r="K327" s="644"/>
      <c r="L327" s="644"/>
      <c r="M327" s="644"/>
      <c r="N327" s="644"/>
      <c r="O327" s="644"/>
      <c r="P327" s="644"/>
      <c r="Q327" s="644"/>
      <c r="R327" s="644"/>
      <c r="S327" s="644"/>
      <c r="T327" s="644"/>
      <c r="U327" s="644"/>
      <c r="V327" s="644"/>
      <c r="W327" s="644"/>
      <c r="X327" s="644"/>
      <c r="Y327" s="644"/>
      <c r="Z327" s="644"/>
      <c r="AA327" s="644"/>
      <c r="AB327" s="644"/>
      <c r="AC327" s="644"/>
      <c r="AD327" s="644"/>
      <c r="AE327" s="644"/>
      <c r="AF327" s="204">
        <f t="shared" si="84"/>
        <v>0</v>
      </c>
    </row>
    <row r="328" spans="2:32" x14ac:dyDescent="0.2">
      <c r="B328" s="200">
        <f t="shared" si="82"/>
        <v>1.4166666666666672</v>
      </c>
      <c r="C328" s="200">
        <f t="shared" si="83"/>
        <v>1.4583333333333339</v>
      </c>
      <c r="D328" s="271">
        <f t="shared" si="80"/>
        <v>11</v>
      </c>
      <c r="E328" s="202" t="s">
        <v>340</v>
      </c>
      <c r="F328" s="203" t="s">
        <v>358</v>
      </c>
      <c r="G328" s="644"/>
      <c r="H328" s="644"/>
      <c r="I328" s="644"/>
      <c r="J328" s="644"/>
      <c r="K328" s="644"/>
      <c r="L328" s="644"/>
      <c r="M328" s="644"/>
      <c r="N328" s="644"/>
      <c r="O328" s="644"/>
      <c r="P328" s="644"/>
      <c r="Q328" s="644"/>
      <c r="R328" s="644"/>
      <c r="S328" s="644"/>
      <c r="T328" s="644"/>
      <c r="U328" s="644"/>
      <c r="V328" s="644"/>
      <c r="W328" s="644"/>
      <c r="X328" s="644"/>
      <c r="Y328" s="644"/>
      <c r="Z328" s="644"/>
      <c r="AA328" s="644"/>
      <c r="AB328" s="644"/>
      <c r="AC328" s="644"/>
      <c r="AD328" s="644"/>
      <c r="AE328" s="644"/>
      <c r="AF328" s="204">
        <f t="shared" si="84"/>
        <v>0</v>
      </c>
    </row>
    <row r="329" spans="2:32" x14ac:dyDescent="0.2">
      <c r="B329" s="200">
        <f t="shared" si="82"/>
        <v>1.4583333333333339</v>
      </c>
      <c r="C329" s="200">
        <f t="shared" si="83"/>
        <v>1.5000000000000007</v>
      </c>
      <c r="D329" s="271">
        <f t="shared" si="80"/>
        <v>12</v>
      </c>
      <c r="E329" s="202" t="s">
        <v>340</v>
      </c>
      <c r="F329" s="203" t="s">
        <v>358</v>
      </c>
      <c r="G329" s="644"/>
      <c r="H329" s="644"/>
      <c r="I329" s="644"/>
      <c r="J329" s="644"/>
      <c r="K329" s="644"/>
      <c r="L329" s="644"/>
      <c r="M329" s="644"/>
      <c r="N329" s="644"/>
      <c r="O329" s="644"/>
      <c r="P329" s="644"/>
      <c r="Q329" s="644"/>
      <c r="R329" s="644"/>
      <c r="S329" s="644"/>
      <c r="T329" s="644"/>
      <c r="U329" s="644"/>
      <c r="V329" s="644"/>
      <c r="W329" s="644"/>
      <c r="X329" s="644"/>
      <c r="Y329" s="644"/>
      <c r="Z329" s="644"/>
      <c r="AA329" s="644"/>
      <c r="AB329" s="644"/>
      <c r="AC329" s="644"/>
      <c r="AD329" s="644"/>
      <c r="AE329" s="644"/>
      <c r="AF329" s="204">
        <f t="shared" si="84"/>
        <v>0</v>
      </c>
    </row>
    <row r="330" spans="2:32" x14ac:dyDescent="0.2">
      <c r="B330" s="200">
        <f t="shared" si="82"/>
        <v>1.5000000000000007</v>
      </c>
      <c r="C330" s="200">
        <f t="shared" si="83"/>
        <v>1.5416666666666674</v>
      </c>
      <c r="D330" s="271">
        <f t="shared" si="80"/>
        <v>13</v>
      </c>
      <c r="E330" s="202" t="s">
        <v>340</v>
      </c>
      <c r="F330" s="203" t="s">
        <v>358</v>
      </c>
      <c r="G330" s="644"/>
      <c r="H330" s="644"/>
      <c r="I330" s="644"/>
      <c r="J330" s="644"/>
      <c r="K330" s="644"/>
      <c r="L330" s="644"/>
      <c r="M330" s="644"/>
      <c r="N330" s="644"/>
      <c r="O330" s="644"/>
      <c r="P330" s="644"/>
      <c r="Q330" s="644"/>
      <c r="R330" s="644"/>
      <c r="S330" s="644"/>
      <c r="T330" s="644"/>
      <c r="U330" s="644"/>
      <c r="V330" s="644"/>
      <c r="W330" s="644"/>
      <c r="X330" s="644"/>
      <c r="Y330" s="644"/>
      <c r="Z330" s="644"/>
      <c r="AA330" s="644"/>
      <c r="AB330" s="644"/>
      <c r="AC330" s="644"/>
      <c r="AD330" s="644"/>
      <c r="AE330" s="644"/>
      <c r="AF330" s="204">
        <f t="shared" si="84"/>
        <v>0</v>
      </c>
    </row>
    <row r="331" spans="2:32" x14ac:dyDescent="0.2">
      <c r="B331" s="200">
        <f t="shared" si="82"/>
        <v>1.5416666666666674</v>
      </c>
      <c r="C331" s="200">
        <f t="shared" si="83"/>
        <v>1.5833333333333341</v>
      </c>
      <c r="D331" s="271">
        <f t="shared" si="80"/>
        <v>14</v>
      </c>
      <c r="E331" s="202" t="s">
        <v>340</v>
      </c>
      <c r="F331" s="203" t="s">
        <v>358</v>
      </c>
      <c r="G331" s="644"/>
      <c r="H331" s="644"/>
      <c r="I331" s="644"/>
      <c r="J331" s="644"/>
      <c r="K331" s="644"/>
      <c r="L331" s="644"/>
      <c r="M331" s="644"/>
      <c r="N331" s="644"/>
      <c r="O331" s="644"/>
      <c r="P331" s="644"/>
      <c r="Q331" s="644"/>
      <c r="R331" s="644"/>
      <c r="S331" s="644"/>
      <c r="T331" s="644"/>
      <c r="U331" s="644"/>
      <c r="V331" s="644"/>
      <c r="W331" s="644"/>
      <c r="X331" s="644"/>
      <c r="Y331" s="644"/>
      <c r="Z331" s="644"/>
      <c r="AA331" s="644"/>
      <c r="AB331" s="644"/>
      <c r="AC331" s="644"/>
      <c r="AD331" s="644"/>
      <c r="AE331" s="644"/>
      <c r="AF331" s="204">
        <f t="shared" si="84"/>
        <v>0</v>
      </c>
    </row>
    <row r="332" spans="2:32" x14ac:dyDescent="0.2">
      <c r="B332" s="200">
        <f t="shared" si="82"/>
        <v>1.5833333333333341</v>
      </c>
      <c r="C332" s="200">
        <f t="shared" si="83"/>
        <v>1.6250000000000009</v>
      </c>
      <c r="D332" s="271">
        <f t="shared" si="80"/>
        <v>15</v>
      </c>
      <c r="E332" s="202" t="s">
        <v>340</v>
      </c>
      <c r="F332" s="203" t="s">
        <v>358</v>
      </c>
      <c r="G332" s="644"/>
      <c r="H332" s="644"/>
      <c r="I332" s="644"/>
      <c r="J332" s="644"/>
      <c r="K332" s="644"/>
      <c r="L332" s="644"/>
      <c r="M332" s="644"/>
      <c r="N332" s="644"/>
      <c r="O332" s="644"/>
      <c r="P332" s="644"/>
      <c r="Q332" s="644"/>
      <c r="R332" s="644"/>
      <c r="S332" s="644"/>
      <c r="T332" s="644"/>
      <c r="U332" s="644"/>
      <c r="V332" s="644"/>
      <c r="W332" s="644"/>
      <c r="X332" s="644"/>
      <c r="Y332" s="644"/>
      <c r="Z332" s="644"/>
      <c r="AA332" s="644"/>
      <c r="AB332" s="644"/>
      <c r="AC332" s="644"/>
      <c r="AD332" s="644"/>
      <c r="AE332" s="644"/>
      <c r="AF332" s="204">
        <f t="shared" si="84"/>
        <v>0</v>
      </c>
    </row>
    <row r="333" spans="2:32" x14ac:dyDescent="0.2">
      <c r="B333" s="200">
        <f t="shared" si="82"/>
        <v>1.6250000000000009</v>
      </c>
      <c r="C333" s="200">
        <f t="shared" si="83"/>
        <v>1.6666666666666676</v>
      </c>
      <c r="D333" s="271">
        <f t="shared" si="80"/>
        <v>16</v>
      </c>
      <c r="E333" s="202" t="s">
        <v>340</v>
      </c>
      <c r="F333" s="203" t="s">
        <v>358</v>
      </c>
      <c r="G333" s="644"/>
      <c r="H333" s="644"/>
      <c r="I333" s="644"/>
      <c r="J333" s="644"/>
      <c r="K333" s="644"/>
      <c r="L333" s="644"/>
      <c r="M333" s="644"/>
      <c r="N333" s="644"/>
      <c r="O333" s="644"/>
      <c r="P333" s="644"/>
      <c r="Q333" s="644"/>
      <c r="R333" s="644"/>
      <c r="S333" s="644"/>
      <c r="T333" s="644"/>
      <c r="U333" s="644"/>
      <c r="V333" s="644"/>
      <c r="W333" s="644"/>
      <c r="X333" s="644"/>
      <c r="Y333" s="644"/>
      <c r="Z333" s="644"/>
      <c r="AA333" s="644"/>
      <c r="AB333" s="644"/>
      <c r="AC333" s="644"/>
      <c r="AD333" s="644"/>
      <c r="AE333" s="644"/>
      <c r="AF333" s="204">
        <f t="shared" si="84"/>
        <v>0</v>
      </c>
    </row>
    <row r="334" spans="2:32" x14ac:dyDescent="0.2">
      <c r="B334" s="200">
        <f t="shared" si="82"/>
        <v>1.6666666666666676</v>
      </c>
      <c r="C334" s="200">
        <f t="shared" si="83"/>
        <v>1.7083333333333344</v>
      </c>
      <c r="D334" s="271">
        <f t="shared" si="80"/>
        <v>17</v>
      </c>
      <c r="E334" s="202" t="s">
        <v>340</v>
      </c>
      <c r="F334" s="203" t="s">
        <v>358</v>
      </c>
      <c r="G334" s="644"/>
      <c r="H334" s="644"/>
      <c r="I334" s="644"/>
      <c r="J334" s="644"/>
      <c r="K334" s="644"/>
      <c r="L334" s="644"/>
      <c r="M334" s="644"/>
      <c r="N334" s="644"/>
      <c r="O334" s="644"/>
      <c r="P334" s="644"/>
      <c r="Q334" s="644"/>
      <c r="R334" s="644"/>
      <c r="S334" s="644"/>
      <c r="T334" s="644"/>
      <c r="U334" s="644"/>
      <c r="V334" s="644"/>
      <c r="W334" s="644"/>
      <c r="X334" s="644"/>
      <c r="Y334" s="644"/>
      <c r="Z334" s="644"/>
      <c r="AA334" s="644"/>
      <c r="AB334" s="644"/>
      <c r="AC334" s="644"/>
      <c r="AD334" s="644"/>
      <c r="AE334" s="644"/>
      <c r="AF334" s="204">
        <f t="shared" si="84"/>
        <v>0</v>
      </c>
    </row>
    <row r="335" spans="2:32" x14ac:dyDescent="0.2">
      <c r="B335" s="200">
        <f t="shared" si="82"/>
        <v>1.7083333333333344</v>
      </c>
      <c r="C335" s="200">
        <f t="shared" si="83"/>
        <v>1.7500000000000011</v>
      </c>
      <c r="D335" s="271">
        <f t="shared" si="80"/>
        <v>18</v>
      </c>
      <c r="E335" s="202" t="s">
        <v>361</v>
      </c>
      <c r="F335" s="203" t="s">
        <v>358</v>
      </c>
      <c r="G335" s="644"/>
      <c r="H335" s="644"/>
      <c r="I335" s="644"/>
      <c r="J335" s="644"/>
      <c r="K335" s="644"/>
      <c r="L335" s="644"/>
      <c r="M335" s="644"/>
      <c r="N335" s="644"/>
      <c r="O335" s="644"/>
      <c r="P335" s="644"/>
      <c r="Q335" s="644"/>
      <c r="R335" s="644"/>
      <c r="S335" s="644"/>
      <c r="T335" s="644"/>
      <c r="U335" s="644"/>
      <c r="V335" s="644"/>
      <c r="W335" s="644"/>
      <c r="X335" s="644"/>
      <c r="Y335" s="644"/>
      <c r="Z335" s="644"/>
      <c r="AA335" s="644"/>
      <c r="AB335" s="644"/>
      <c r="AC335" s="644"/>
      <c r="AD335" s="644"/>
      <c r="AE335" s="644"/>
      <c r="AF335" s="204">
        <f t="shared" si="84"/>
        <v>0</v>
      </c>
    </row>
    <row r="336" spans="2:32" x14ac:dyDescent="0.2">
      <c r="B336" s="205"/>
      <c r="C336" s="205" t="s">
        <v>622</v>
      </c>
      <c r="D336" s="205"/>
      <c r="E336" s="205"/>
      <c r="F336" s="205" t="s">
        <v>356</v>
      </c>
      <c r="G336" s="206">
        <f t="shared" ref="G336:R336" si="85">MAX(G312:G314)</f>
        <v>0</v>
      </c>
      <c r="H336" s="206">
        <f t="shared" si="85"/>
        <v>0</v>
      </c>
      <c r="I336" s="206">
        <f t="shared" si="85"/>
        <v>0</v>
      </c>
      <c r="J336" s="206">
        <f t="shared" si="85"/>
        <v>0</v>
      </c>
      <c r="K336" s="206">
        <f t="shared" si="85"/>
        <v>0</v>
      </c>
      <c r="L336" s="206">
        <f t="shared" si="85"/>
        <v>0</v>
      </c>
      <c r="M336" s="206">
        <f t="shared" si="85"/>
        <v>0</v>
      </c>
      <c r="N336" s="206">
        <f t="shared" si="85"/>
        <v>0</v>
      </c>
      <c r="O336" s="206">
        <f t="shared" si="85"/>
        <v>0</v>
      </c>
      <c r="P336" s="206">
        <f t="shared" si="85"/>
        <v>0</v>
      </c>
      <c r="Q336" s="206">
        <f t="shared" si="85"/>
        <v>0</v>
      </c>
      <c r="R336" s="206">
        <f t="shared" si="85"/>
        <v>0</v>
      </c>
      <c r="S336" s="206">
        <f t="shared" ref="S336:AF336" si="86">MAX(S312:S314)</f>
        <v>0</v>
      </c>
      <c r="T336" s="206">
        <f t="shared" si="86"/>
        <v>0</v>
      </c>
      <c r="U336" s="206">
        <f t="shared" si="86"/>
        <v>0</v>
      </c>
      <c r="V336" s="206">
        <f t="shared" si="86"/>
        <v>0</v>
      </c>
      <c r="W336" s="206">
        <f t="shared" si="86"/>
        <v>0</v>
      </c>
      <c r="X336" s="206">
        <f t="shared" si="86"/>
        <v>0</v>
      </c>
      <c r="Y336" s="206">
        <f t="shared" si="86"/>
        <v>0</v>
      </c>
      <c r="Z336" s="206">
        <f t="shared" si="86"/>
        <v>0</v>
      </c>
      <c r="AA336" s="206">
        <f t="shared" si="86"/>
        <v>0</v>
      </c>
      <c r="AB336" s="206">
        <f t="shared" si="86"/>
        <v>0</v>
      </c>
      <c r="AC336" s="206">
        <f t="shared" si="86"/>
        <v>0</v>
      </c>
      <c r="AD336" s="206">
        <f t="shared" si="86"/>
        <v>0</v>
      </c>
      <c r="AE336" s="206">
        <f t="shared" si="86"/>
        <v>0</v>
      </c>
      <c r="AF336" s="206">
        <f t="shared" si="86"/>
        <v>0</v>
      </c>
    </row>
    <row r="337" spans="2:32" x14ac:dyDescent="0.2">
      <c r="B337" s="205"/>
      <c r="C337" s="205" t="s">
        <v>622</v>
      </c>
      <c r="D337" s="205"/>
      <c r="E337" s="205"/>
      <c r="F337" s="205" t="s">
        <v>358</v>
      </c>
      <c r="G337" s="206">
        <f t="shared" ref="G337:R337" si="87">MAX(G315:G335)</f>
        <v>0</v>
      </c>
      <c r="H337" s="206">
        <f t="shared" si="87"/>
        <v>0</v>
      </c>
      <c r="I337" s="206">
        <f t="shared" si="87"/>
        <v>0</v>
      </c>
      <c r="J337" s="206">
        <f t="shared" si="87"/>
        <v>0</v>
      </c>
      <c r="K337" s="206">
        <f t="shared" si="87"/>
        <v>0</v>
      </c>
      <c r="L337" s="206">
        <f t="shared" si="87"/>
        <v>0</v>
      </c>
      <c r="M337" s="206">
        <f t="shared" si="87"/>
        <v>0</v>
      </c>
      <c r="N337" s="206">
        <f t="shared" si="87"/>
        <v>0</v>
      </c>
      <c r="O337" s="206">
        <f t="shared" si="87"/>
        <v>0</v>
      </c>
      <c r="P337" s="206">
        <f t="shared" si="87"/>
        <v>0</v>
      </c>
      <c r="Q337" s="206">
        <f t="shared" si="87"/>
        <v>0</v>
      </c>
      <c r="R337" s="206">
        <f t="shared" si="87"/>
        <v>0</v>
      </c>
      <c r="S337" s="206">
        <f t="shared" ref="S337:AF337" si="88">MAX(S315:S335)</f>
        <v>0</v>
      </c>
      <c r="T337" s="206">
        <f t="shared" si="88"/>
        <v>0</v>
      </c>
      <c r="U337" s="206">
        <f t="shared" si="88"/>
        <v>0</v>
      </c>
      <c r="V337" s="206">
        <f t="shared" si="88"/>
        <v>0</v>
      </c>
      <c r="W337" s="206">
        <f t="shared" si="88"/>
        <v>0</v>
      </c>
      <c r="X337" s="206">
        <f t="shared" si="88"/>
        <v>0</v>
      </c>
      <c r="Y337" s="206">
        <f t="shared" si="88"/>
        <v>0</v>
      </c>
      <c r="Z337" s="206">
        <f t="shared" si="88"/>
        <v>0</v>
      </c>
      <c r="AA337" s="206">
        <f t="shared" si="88"/>
        <v>0</v>
      </c>
      <c r="AB337" s="206">
        <f t="shared" si="88"/>
        <v>0</v>
      </c>
      <c r="AC337" s="206">
        <f t="shared" si="88"/>
        <v>0</v>
      </c>
      <c r="AD337" s="206">
        <f t="shared" si="88"/>
        <v>0</v>
      </c>
      <c r="AE337" s="206">
        <f t="shared" si="88"/>
        <v>0</v>
      </c>
      <c r="AF337" s="206">
        <f t="shared" si="88"/>
        <v>0</v>
      </c>
    </row>
    <row r="338" spans="2:32" x14ac:dyDescent="0.2">
      <c r="B338" s="205"/>
      <c r="C338" s="205"/>
      <c r="D338" s="205"/>
      <c r="E338" s="205"/>
      <c r="F338" s="205" t="s">
        <v>710</v>
      </c>
      <c r="G338" s="645"/>
      <c r="H338" s="645"/>
      <c r="I338" s="645"/>
      <c r="J338" s="645"/>
      <c r="K338" s="645"/>
      <c r="L338" s="645"/>
      <c r="M338" s="645"/>
      <c r="N338" s="645"/>
      <c r="O338" s="645"/>
      <c r="P338" s="645"/>
      <c r="Q338" s="645"/>
      <c r="R338" s="645"/>
      <c r="S338" s="645"/>
      <c r="T338" s="645"/>
      <c r="U338" s="645"/>
      <c r="V338" s="645"/>
      <c r="W338" s="645"/>
      <c r="X338" s="645"/>
      <c r="Y338" s="645"/>
      <c r="Z338" s="645"/>
      <c r="AA338" s="645"/>
      <c r="AB338" s="645"/>
      <c r="AC338" s="645"/>
      <c r="AD338" s="645"/>
      <c r="AE338" s="645"/>
    </row>
    <row r="339" spans="2:32" x14ac:dyDescent="0.2">
      <c r="B339" s="205"/>
      <c r="C339" s="205"/>
      <c r="D339" s="205"/>
      <c r="E339" s="205"/>
      <c r="F339" s="205" t="s">
        <v>702</v>
      </c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645"/>
      <c r="AB339" s="645"/>
      <c r="AC339" s="645"/>
      <c r="AD339" s="645"/>
      <c r="AE339" s="645"/>
    </row>
    <row r="340" spans="2:32" x14ac:dyDescent="0.2">
      <c r="B340" s="205"/>
      <c r="C340" s="205"/>
      <c r="D340" s="205"/>
      <c r="E340" s="205"/>
      <c r="F340" s="205" t="s">
        <v>711</v>
      </c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645"/>
      <c r="AB340" s="645"/>
      <c r="AC340" s="645"/>
      <c r="AD340" s="645"/>
      <c r="AE340" s="645"/>
    </row>
  </sheetData>
  <mergeCells count="60">
    <mergeCell ref="B311:C311"/>
    <mergeCell ref="B275:C275"/>
    <mergeCell ref="B276:C276"/>
    <mergeCell ref="D276:F276"/>
    <mergeCell ref="B277:C277"/>
    <mergeCell ref="B308:C308"/>
    <mergeCell ref="D308:F308"/>
    <mergeCell ref="B243:C243"/>
    <mergeCell ref="B274:C274"/>
    <mergeCell ref="D274:F274"/>
    <mergeCell ref="B309:C309"/>
    <mergeCell ref="B310:C310"/>
    <mergeCell ref="D310:F310"/>
    <mergeCell ref="B209:C209"/>
    <mergeCell ref="B240:C240"/>
    <mergeCell ref="D240:F240"/>
    <mergeCell ref="B241:C241"/>
    <mergeCell ref="B242:C242"/>
    <mergeCell ref="D242:F242"/>
    <mergeCell ref="B175:C175"/>
    <mergeCell ref="B206:C206"/>
    <mergeCell ref="D206:F206"/>
    <mergeCell ref="B207:C207"/>
    <mergeCell ref="B208:C208"/>
    <mergeCell ref="D208:F208"/>
    <mergeCell ref="B141:C141"/>
    <mergeCell ref="B172:C172"/>
    <mergeCell ref="D172:F172"/>
    <mergeCell ref="B173:C173"/>
    <mergeCell ref="B174:C174"/>
    <mergeCell ref="D174:F174"/>
    <mergeCell ref="B107:C107"/>
    <mergeCell ref="B138:C138"/>
    <mergeCell ref="D138:F138"/>
    <mergeCell ref="B139:C139"/>
    <mergeCell ref="B140:C140"/>
    <mergeCell ref="D140:F140"/>
    <mergeCell ref="B73:C73"/>
    <mergeCell ref="B104:C104"/>
    <mergeCell ref="D104:F104"/>
    <mergeCell ref="B105:C105"/>
    <mergeCell ref="B106:C106"/>
    <mergeCell ref="D106:F106"/>
    <mergeCell ref="B39:C39"/>
    <mergeCell ref="B70:C70"/>
    <mergeCell ref="D70:F70"/>
    <mergeCell ref="B71:C71"/>
    <mergeCell ref="B72:C72"/>
    <mergeCell ref="D72:F72"/>
    <mergeCell ref="B36:C36"/>
    <mergeCell ref="D36:F36"/>
    <mergeCell ref="B37:C37"/>
    <mergeCell ref="B3:C3"/>
    <mergeCell ref="B38:C38"/>
    <mergeCell ref="D38:F38"/>
    <mergeCell ref="D2:F2"/>
    <mergeCell ref="B2:C2"/>
    <mergeCell ref="B4:C4"/>
    <mergeCell ref="D4:F4"/>
    <mergeCell ref="B5:C5"/>
  </mergeCells>
  <conditionalFormatting sqref="F6:F29">
    <cfRule type="cellIs" dxfId="147" priority="46" operator="equal">
      <formula>"DP1"</formula>
    </cfRule>
    <cfRule type="cellIs" dxfId="146" priority="50" operator="equal">
      <formula>"P"</formula>
    </cfRule>
  </conditionalFormatting>
  <conditionalFormatting sqref="E6:E29">
    <cfRule type="cellIs" dxfId="145" priority="47" operator="equal">
      <formula>"I"</formula>
    </cfRule>
    <cfRule type="cellIs" dxfId="144" priority="48" operator="equal">
      <formula>"FP"</formula>
    </cfRule>
    <cfRule type="cellIs" dxfId="143" priority="49" operator="equal">
      <formula>"P"</formula>
    </cfRule>
  </conditionalFormatting>
  <conditionalFormatting sqref="F40:F63">
    <cfRule type="cellIs" dxfId="142" priority="41" operator="equal">
      <formula>"DP1"</formula>
    </cfRule>
    <cfRule type="cellIs" dxfId="141" priority="45" operator="equal">
      <formula>"P"</formula>
    </cfRule>
  </conditionalFormatting>
  <conditionalFormatting sqref="E40:E63">
    <cfRule type="cellIs" dxfId="140" priority="42" operator="equal">
      <formula>"I"</formula>
    </cfRule>
    <cfRule type="cellIs" dxfId="139" priority="43" operator="equal">
      <formula>"FP"</formula>
    </cfRule>
    <cfRule type="cellIs" dxfId="138" priority="44" operator="equal">
      <formula>"P"</formula>
    </cfRule>
  </conditionalFormatting>
  <conditionalFormatting sqref="F74:F97">
    <cfRule type="cellIs" dxfId="137" priority="36" operator="equal">
      <formula>"DP1"</formula>
    </cfRule>
    <cfRule type="cellIs" dxfId="136" priority="40" operator="equal">
      <formula>"P"</formula>
    </cfRule>
  </conditionalFormatting>
  <conditionalFormatting sqref="E74:E97">
    <cfRule type="cellIs" dxfId="135" priority="37" operator="equal">
      <formula>"I"</formula>
    </cfRule>
    <cfRule type="cellIs" dxfId="134" priority="38" operator="equal">
      <formula>"FP"</formula>
    </cfRule>
    <cfRule type="cellIs" dxfId="133" priority="39" operator="equal">
      <formula>"P"</formula>
    </cfRule>
  </conditionalFormatting>
  <conditionalFormatting sqref="F108:F131">
    <cfRule type="cellIs" dxfId="132" priority="31" operator="equal">
      <formula>"DP1"</formula>
    </cfRule>
    <cfRule type="cellIs" dxfId="131" priority="35" operator="equal">
      <formula>"P"</formula>
    </cfRule>
  </conditionalFormatting>
  <conditionalFormatting sqref="E108:E131">
    <cfRule type="cellIs" dxfId="130" priority="32" operator="equal">
      <formula>"I"</formula>
    </cfRule>
    <cfRule type="cellIs" dxfId="129" priority="33" operator="equal">
      <formula>"FP"</formula>
    </cfRule>
    <cfRule type="cellIs" dxfId="128" priority="34" operator="equal">
      <formula>"P"</formula>
    </cfRule>
  </conditionalFormatting>
  <conditionalFormatting sqref="F142:F165">
    <cfRule type="cellIs" dxfId="127" priority="26" operator="equal">
      <formula>"DP1"</formula>
    </cfRule>
    <cfRule type="cellIs" dxfId="126" priority="30" operator="equal">
      <formula>"P"</formula>
    </cfRule>
  </conditionalFormatting>
  <conditionalFormatting sqref="E142:E165">
    <cfRule type="cellIs" dxfId="125" priority="27" operator="equal">
      <formula>"I"</formula>
    </cfRule>
    <cfRule type="cellIs" dxfId="124" priority="28" operator="equal">
      <formula>"FP"</formula>
    </cfRule>
    <cfRule type="cellIs" dxfId="123" priority="29" operator="equal">
      <formula>"P"</formula>
    </cfRule>
  </conditionalFormatting>
  <conditionalFormatting sqref="F176:F199">
    <cfRule type="cellIs" dxfId="122" priority="21" operator="equal">
      <formula>"DP1"</formula>
    </cfRule>
    <cfRule type="cellIs" dxfId="121" priority="25" operator="equal">
      <formula>"P"</formula>
    </cfRule>
  </conditionalFormatting>
  <conditionalFormatting sqref="E176:E199">
    <cfRule type="cellIs" dxfId="120" priority="22" operator="equal">
      <formula>"I"</formula>
    </cfRule>
    <cfRule type="cellIs" dxfId="119" priority="23" operator="equal">
      <formula>"FP"</formula>
    </cfRule>
    <cfRule type="cellIs" dxfId="118" priority="24" operator="equal">
      <formula>"P"</formula>
    </cfRule>
  </conditionalFormatting>
  <conditionalFormatting sqref="F210:F233">
    <cfRule type="cellIs" dxfId="117" priority="16" operator="equal">
      <formula>"DP1"</formula>
    </cfRule>
    <cfRule type="cellIs" dxfId="116" priority="20" operator="equal">
      <formula>"P"</formula>
    </cfRule>
  </conditionalFormatting>
  <conditionalFormatting sqref="E210:E233">
    <cfRule type="cellIs" dxfId="115" priority="17" operator="equal">
      <formula>"I"</formula>
    </cfRule>
    <cfRule type="cellIs" dxfId="114" priority="18" operator="equal">
      <formula>"FP"</formula>
    </cfRule>
    <cfRule type="cellIs" dxfId="113" priority="19" operator="equal">
      <formula>"P"</formula>
    </cfRule>
  </conditionalFormatting>
  <conditionalFormatting sqref="F244:F267">
    <cfRule type="cellIs" dxfId="112" priority="11" operator="equal">
      <formula>"DP1"</formula>
    </cfRule>
    <cfRule type="cellIs" dxfId="111" priority="15" operator="equal">
      <formula>"P"</formula>
    </cfRule>
  </conditionalFormatting>
  <conditionalFormatting sqref="E244:E267">
    <cfRule type="cellIs" dxfId="110" priority="12" operator="equal">
      <formula>"I"</formula>
    </cfRule>
    <cfRule type="cellIs" dxfId="109" priority="13" operator="equal">
      <formula>"FP"</formula>
    </cfRule>
    <cfRule type="cellIs" dxfId="108" priority="14" operator="equal">
      <formula>"P"</formula>
    </cfRule>
  </conditionalFormatting>
  <conditionalFormatting sqref="F278:F301">
    <cfRule type="cellIs" dxfId="107" priority="6" operator="equal">
      <formula>"DP1"</formula>
    </cfRule>
    <cfRule type="cellIs" dxfId="106" priority="10" operator="equal">
      <formula>"P"</formula>
    </cfRule>
  </conditionalFormatting>
  <conditionalFormatting sqref="E278:E301">
    <cfRule type="cellIs" dxfId="105" priority="7" operator="equal">
      <formula>"I"</formula>
    </cfRule>
    <cfRule type="cellIs" dxfId="104" priority="8" operator="equal">
      <formula>"FP"</formula>
    </cfRule>
    <cfRule type="cellIs" dxfId="103" priority="9" operator="equal">
      <formula>"P"</formula>
    </cfRule>
  </conditionalFormatting>
  <conditionalFormatting sqref="F312:F335">
    <cfRule type="cellIs" dxfId="102" priority="1" operator="equal">
      <formula>"DP1"</formula>
    </cfRule>
    <cfRule type="cellIs" dxfId="101" priority="5" operator="equal">
      <formula>"P"</formula>
    </cfRule>
  </conditionalFormatting>
  <conditionalFormatting sqref="E312:E335">
    <cfRule type="cellIs" dxfId="100" priority="2" operator="equal">
      <formula>"I"</formula>
    </cfRule>
    <cfRule type="cellIs" dxfId="99" priority="3" operator="equal">
      <formula>"FP"</formula>
    </cfRule>
    <cfRule type="cellIs" dxfId="98" priority="4" operator="equal">
      <formula>"P"</formula>
    </cfRule>
  </conditionalFormatting>
  <dataValidations count="1">
    <dataValidation type="list" allowBlank="1" showInputMessage="1" showErrorMessage="1" sqref="E6:E29 E40:E63 E74:E97 E108:E131 E142:E165 E176:E199 E210:E233 E244:E267 E278:E301 E312:E335" xr:uid="{00000000-0002-0000-0900-000000000000}">
      <formula1>"P,FP,I"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2"/>
  <dimension ref="B1:AN116"/>
  <sheetViews>
    <sheetView showGridLines="0" topLeftCell="A68" zoomScaleNormal="100" workbookViewId="0">
      <selection activeCell="H93" sqref="H93:AN116"/>
    </sheetView>
  </sheetViews>
  <sheetFormatPr defaultColWidth="9.140625" defaultRowHeight="12" x14ac:dyDescent="0.2"/>
  <cols>
    <col min="1" max="1" width="1.42578125" style="193" customWidth="1"/>
    <col min="2" max="2" width="8.140625" style="193" bestFit="1" customWidth="1"/>
    <col min="3" max="16384" width="9.140625" style="193"/>
  </cols>
  <sheetData>
    <row r="1" spans="2:40" x14ac:dyDescent="0.2">
      <c r="C1" s="191" t="s">
        <v>359</v>
      </c>
      <c r="D1" s="192">
        <v>4.1666666666666664E-2</v>
      </c>
      <c r="H1" s="194" t="s">
        <v>388</v>
      </c>
      <c r="I1" s="194"/>
      <c r="J1" s="194"/>
      <c r="K1" s="195" t="s">
        <v>51</v>
      </c>
      <c r="L1" s="195" t="s">
        <v>50</v>
      </c>
      <c r="M1" s="195" t="s">
        <v>52</v>
      </c>
      <c r="N1" s="195" t="s">
        <v>49</v>
      </c>
      <c r="O1" s="195" t="s">
        <v>11</v>
      </c>
      <c r="P1" s="195" t="s">
        <v>12</v>
      </c>
      <c r="Q1" s="195" t="s">
        <v>9</v>
      </c>
      <c r="R1" s="195" t="s">
        <v>10</v>
      </c>
      <c r="S1" s="195"/>
      <c r="T1" s="195"/>
    </row>
    <row r="2" spans="2:40" ht="12" customHeight="1" x14ac:dyDescent="0.2">
      <c r="C2" s="814" t="s">
        <v>20</v>
      </c>
      <c r="D2" s="815"/>
      <c r="E2" s="805" t="s">
        <v>48</v>
      </c>
      <c r="F2" s="806"/>
      <c r="G2" s="807"/>
      <c r="H2" s="247" t="s">
        <v>665</v>
      </c>
      <c r="I2" s="247" t="s">
        <v>665</v>
      </c>
      <c r="J2" s="196" t="s">
        <v>665</v>
      </c>
      <c r="K2" s="247" t="s">
        <v>665</v>
      </c>
      <c r="L2" s="247" t="s">
        <v>665</v>
      </c>
      <c r="M2" s="247" t="s">
        <v>665</v>
      </c>
      <c r="N2" s="247" t="s">
        <v>665</v>
      </c>
      <c r="O2" s="247" t="s">
        <v>665</v>
      </c>
      <c r="P2" s="247" t="s">
        <v>665</v>
      </c>
      <c r="Q2" s="247" t="s">
        <v>665</v>
      </c>
      <c r="R2" s="247"/>
      <c r="S2" s="247"/>
      <c r="T2" s="247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</row>
    <row r="3" spans="2:40" x14ac:dyDescent="0.2">
      <c r="C3" s="816"/>
      <c r="D3" s="817"/>
      <c r="E3" s="808"/>
      <c r="F3" s="809"/>
      <c r="G3" s="810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</row>
    <row r="4" spans="2:40" x14ac:dyDescent="0.2">
      <c r="C4" s="818"/>
      <c r="D4" s="819"/>
      <c r="E4" s="811"/>
      <c r="F4" s="812"/>
      <c r="G4" s="813"/>
      <c r="H4" s="196" t="s">
        <v>394</v>
      </c>
      <c r="I4" s="196" t="s">
        <v>395</v>
      </c>
      <c r="J4" s="196" t="s">
        <v>396</v>
      </c>
      <c r="K4" s="196" t="s">
        <v>397</v>
      </c>
      <c r="L4" s="196" t="s">
        <v>398</v>
      </c>
      <c r="M4" s="196" t="s">
        <v>399</v>
      </c>
      <c r="N4" s="196" t="s">
        <v>400</v>
      </c>
      <c r="O4" s="196" t="s">
        <v>401</v>
      </c>
      <c r="P4" s="196" t="s">
        <v>402</v>
      </c>
      <c r="Q4" s="196" t="s">
        <v>403</v>
      </c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</row>
    <row r="5" spans="2:40" x14ac:dyDescent="0.2">
      <c r="C5" s="803" t="s">
        <v>47</v>
      </c>
      <c r="D5" s="804"/>
      <c r="E5" s="244"/>
      <c r="F5" s="245" t="s">
        <v>360</v>
      </c>
      <c r="G5" s="246"/>
      <c r="H5" s="198" t="s">
        <v>343</v>
      </c>
      <c r="I5" s="198" t="s">
        <v>343</v>
      </c>
      <c r="J5" s="198" t="s">
        <v>343</v>
      </c>
      <c r="K5" s="198" t="s">
        <v>343</v>
      </c>
      <c r="L5" s="198" t="s">
        <v>343</v>
      </c>
      <c r="M5" s="198" t="s">
        <v>343</v>
      </c>
      <c r="N5" s="198" t="s">
        <v>343</v>
      </c>
      <c r="O5" s="198" t="s">
        <v>343</v>
      </c>
      <c r="P5" s="198" t="s">
        <v>343</v>
      </c>
      <c r="Q5" s="198" t="s">
        <v>343</v>
      </c>
      <c r="R5" s="198" t="s">
        <v>343</v>
      </c>
      <c r="S5" s="198" t="s">
        <v>343</v>
      </c>
      <c r="T5" s="198" t="s">
        <v>343</v>
      </c>
      <c r="U5" s="198" t="s">
        <v>343</v>
      </c>
      <c r="V5" s="198" t="s">
        <v>343</v>
      </c>
      <c r="W5" s="198" t="s">
        <v>343</v>
      </c>
      <c r="X5" s="198" t="s">
        <v>343</v>
      </c>
      <c r="Y5" s="198" t="s">
        <v>343</v>
      </c>
      <c r="Z5" s="198" t="s">
        <v>343</v>
      </c>
      <c r="AA5" s="198" t="s">
        <v>343</v>
      </c>
      <c r="AB5" s="198" t="s">
        <v>343</v>
      </c>
      <c r="AC5" s="198" t="s">
        <v>343</v>
      </c>
      <c r="AD5" s="198" t="s">
        <v>343</v>
      </c>
      <c r="AE5" s="198" t="s">
        <v>343</v>
      </c>
      <c r="AF5" s="198" t="s">
        <v>343</v>
      </c>
      <c r="AG5" s="198" t="s">
        <v>343</v>
      </c>
      <c r="AH5" s="198" t="s">
        <v>343</v>
      </c>
      <c r="AI5" s="198" t="s">
        <v>343</v>
      </c>
      <c r="AJ5" s="198" t="s">
        <v>343</v>
      </c>
      <c r="AK5" s="198" t="s">
        <v>343</v>
      </c>
      <c r="AL5" s="198" t="s">
        <v>343</v>
      </c>
      <c r="AM5" s="198" t="s">
        <v>343</v>
      </c>
      <c r="AN5" s="198" t="s">
        <v>343</v>
      </c>
    </row>
    <row r="6" spans="2:40" x14ac:dyDescent="0.2">
      <c r="B6" s="248">
        <f>SUM(H6:AN6)</f>
        <v>18.658925734753016</v>
      </c>
      <c r="C6" s="200">
        <f>'DADOS-Campanha'!J23</f>
        <v>0.75</v>
      </c>
      <c r="D6" s="200">
        <f>C6+$D$1</f>
        <v>0.79166666666666663</v>
      </c>
      <c r="E6" s="201">
        <v>1</v>
      </c>
      <c r="F6" s="202" t="s">
        <v>339</v>
      </c>
      <c r="G6" s="203" t="s">
        <v>356</v>
      </c>
      <c r="H6" s="646">
        <v>2.3584957278302499</v>
      </c>
      <c r="I6" s="646">
        <v>6.2022564222463004</v>
      </c>
      <c r="J6" s="646">
        <v>1.0795169759604</v>
      </c>
      <c r="K6" s="646">
        <v>1.3470616442605901</v>
      </c>
      <c r="L6" s="646">
        <v>2.1840689148808101</v>
      </c>
      <c r="M6" s="646">
        <v>3.0439172513886201</v>
      </c>
      <c r="N6" s="646">
        <v>1.25906332712059</v>
      </c>
      <c r="O6" s="646">
        <v>0.55253345792338504</v>
      </c>
      <c r="P6" s="646">
        <v>0.55994340369719198</v>
      </c>
      <c r="Q6" s="646">
        <v>7.2068609444876794E-2</v>
      </c>
      <c r="R6" s="646"/>
      <c r="S6" s="646"/>
      <c r="T6" s="646"/>
      <c r="U6" s="646"/>
      <c r="V6" s="646"/>
      <c r="W6" s="646"/>
      <c r="X6" s="646"/>
      <c r="Y6" s="646"/>
      <c r="Z6" s="646"/>
      <c r="AA6" s="646"/>
      <c r="AB6" s="646"/>
      <c r="AC6" s="646"/>
      <c r="AD6" s="646"/>
      <c r="AE6" s="646"/>
      <c r="AF6" s="646"/>
      <c r="AG6" s="646"/>
      <c r="AH6" s="646"/>
      <c r="AI6" s="646"/>
      <c r="AJ6" s="646"/>
      <c r="AK6" s="646"/>
      <c r="AL6" s="646"/>
      <c r="AM6" s="646"/>
      <c r="AN6" s="646"/>
    </row>
    <row r="7" spans="2:40" x14ac:dyDescent="0.2">
      <c r="B7" s="248">
        <f t="shared" ref="B7:B29" si="0">SUM(H7:AN7)</f>
        <v>22.51578936312146</v>
      </c>
      <c r="C7" s="200">
        <f>D6</f>
        <v>0.79166666666666663</v>
      </c>
      <c r="D7" s="200">
        <f>C7+$D$1</f>
        <v>0.83333333333333326</v>
      </c>
      <c r="E7" s="201">
        <v>2</v>
      </c>
      <c r="F7" s="202" t="s">
        <v>339</v>
      </c>
      <c r="G7" s="203" t="s">
        <v>356</v>
      </c>
      <c r="H7" s="646">
        <v>3.1296830890579099</v>
      </c>
      <c r="I7" s="646">
        <v>8.1063092764194593</v>
      </c>
      <c r="J7" s="646">
        <v>1.4580890483611999</v>
      </c>
      <c r="K7" s="646">
        <v>1.48402647432534</v>
      </c>
      <c r="L7" s="646">
        <v>2.2326007218858201</v>
      </c>
      <c r="M7" s="646">
        <v>3.4440112994404699</v>
      </c>
      <c r="N7" s="646">
        <v>1.17348527892097</v>
      </c>
      <c r="O7" s="646">
        <v>0.58395113755010797</v>
      </c>
      <c r="P7" s="646">
        <v>0.79035470706085897</v>
      </c>
      <c r="Q7" s="646">
        <v>0.11327833009932101</v>
      </c>
      <c r="R7" s="646"/>
      <c r="S7" s="646"/>
      <c r="T7" s="646"/>
      <c r="U7" s="646"/>
      <c r="V7" s="646"/>
      <c r="W7" s="646"/>
      <c r="X7" s="646"/>
      <c r="Y7" s="646"/>
      <c r="Z7" s="646"/>
      <c r="AA7" s="646"/>
      <c r="AB7" s="646"/>
      <c r="AC7" s="646"/>
      <c r="AD7" s="646"/>
      <c r="AE7" s="646"/>
      <c r="AF7" s="646"/>
      <c r="AG7" s="646"/>
      <c r="AH7" s="646"/>
      <c r="AI7" s="646"/>
      <c r="AJ7" s="646"/>
      <c r="AK7" s="646"/>
      <c r="AL7" s="646"/>
      <c r="AM7" s="646"/>
      <c r="AN7" s="646"/>
    </row>
    <row r="8" spans="2:40" x14ac:dyDescent="0.2">
      <c r="B8" s="248">
        <f t="shared" si="0"/>
        <v>21.858088339075454</v>
      </c>
      <c r="C8" s="200">
        <f t="shared" ref="C8:C29" si="1">D7</f>
        <v>0.83333333333333326</v>
      </c>
      <c r="D8" s="200">
        <f t="shared" ref="D8:D29" si="2">C8+$D$1</f>
        <v>0.87499999999999989</v>
      </c>
      <c r="E8" s="201">
        <v>3</v>
      </c>
      <c r="F8" s="202" t="s">
        <v>339</v>
      </c>
      <c r="G8" s="203" t="s">
        <v>356</v>
      </c>
      <c r="H8" s="646">
        <v>3.0918648184330499</v>
      </c>
      <c r="I8" s="646">
        <v>8.1402217059086706</v>
      </c>
      <c r="J8" s="646">
        <v>1.2210375398676401</v>
      </c>
      <c r="K8" s="646">
        <v>1.4463580102158899</v>
      </c>
      <c r="L8" s="646">
        <v>2.3128131464720401</v>
      </c>
      <c r="M8" s="646">
        <v>3.3337304075271601</v>
      </c>
      <c r="N8" s="646">
        <v>0.78309512637531498</v>
      </c>
      <c r="O8" s="646">
        <v>0.58701647639751897</v>
      </c>
      <c r="P8" s="646">
        <v>0.84323248336509604</v>
      </c>
      <c r="Q8" s="646">
        <v>9.87186245130766E-2</v>
      </c>
      <c r="R8" s="646"/>
      <c r="S8" s="646"/>
      <c r="T8" s="646"/>
      <c r="U8" s="646"/>
      <c r="V8" s="646"/>
      <c r="W8" s="646"/>
      <c r="X8" s="646"/>
      <c r="Y8" s="646"/>
      <c r="Z8" s="646"/>
      <c r="AA8" s="646"/>
      <c r="AB8" s="646"/>
      <c r="AC8" s="646"/>
      <c r="AD8" s="646"/>
      <c r="AE8" s="646"/>
      <c r="AF8" s="646"/>
      <c r="AG8" s="646"/>
      <c r="AH8" s="646"/>
      <c r="AI8" s="646"/>
      <c r="AJ8" s="646"/>
      <c r="AK8" s="646"/>
      <c r="AL8" s="646"/>
      <c r="AM8" s="646"/>
      <c r="AN8" s="646"/>
    </row>
    <row r="9" spans="2:40" x14ac:dyDescent="0.2">
      <c r="B9" s="248">
        <f t="shared" si="0"/>
        <v>18.99979291319513</v>
      </c>
      <c r="C9" s="200">
        <f t="shared" si="1"/>
        <v>0.87499999999999989</v>
      </c>
      <c r="D9" s="200">
        <f t="shared" si="2"/>
        <v>0.91666666666666652</v>
      </c>
      <c r="E9" s="201">
        <v>4</v>
      </c>
      <c r="F9" s="202" t="s">
        <v>361</v>
      </c>
      <c r="G9" s="203" t="s">
        <v>358</v>
      </c>
      <c r="H9" s="646">
        <v>3.1317358715535102</v>
      </c>
      <c r="I9" s="646">
        <v>6.3816709774597804</v>
      </c>
      <c r="J9" s="646">
        <v>1.06955666826555</v>
      </c>
      <c r="K9" s="646">
        <v>1.26638771588124</v>
      </c>
      <c r="L9" s="646">
        <v>1.82669808832151</v>
      </c>
      <c r="M9" s="646">
        <v>3.1440189704133799</v>
      </c>
      <c r="N9" s="646">
        <v>0.73273855721375203</v>
      </c>
      <c r="O9" s="646">
        <v>0.55253345792338504</v>
      </c>
      <c r="P9" s="646">
        <v>0.79009858097049801</v>
      </c>
      <c r="Q9" s="646">
        <v>0.104354025192524</v>
      </c>
      <c r="R9" s="646"/>
      <c r="S9" s="646"/>
      <c r="T9" s="646"/>
      <c r="U9" s="646"/>
      <c r="V9" s="646"/>
      <c r="W9" s="646"/>
      <c r="X9" s="646"/>
      <c r="Y9" s="646"/>
      <c r="Z9" s="646"/>
      <c r="AA9" s="646"/>
      <c r="AB9" s="646"/>
      <c r="AC9" s="646"/>
      <c r="AD9" s="646"/>
      <c r="AE9" s="646"/>
      <c r="AF9" s="646"/>
      <c r="AG9" s="646"/>
      <c r="AH9" s="646"/>
      <c r="AI9" s="646"/>
      <c r="AJ9" s="646"/>
      <c r="AK9" s="646"/>
      <c r="AL9" s="646"/>
      <c r="AM9" s="646"/>
      <c r="AN9" s="646"/>
    </row>
    <row r="10" spans="2:40" x14ac:dyDescent="0.2">
      <c r="B10" s="248">
        <f t="shared" si="0"/>
        <v>16.676051806484622</v>
      </c>
      <c r="C10" s="200">
        <f t="shared" si="1"/>
        <v>0.91666666666666652</v>
      </c>
      <c r="D10" s="200">
        <f t="shared" si="2"/>
        <v>0.95833333333333315</v>
      </c>
      <c r="E10" s="201">
        <v>5</v>
      </c>
      <c r="F10" s="202" t="s">
        <v>340</v>
      </c>
      <c r="G10" s="203" t="s">
        <v>358</v>
      </c>
      <c r="H10" s="646">
        <v>2.7640382726342301</v>
      </c>
      <c r="I10" s="646">
        <v>5.6425211073738</v>
      </c>
      <c r="J10" s="646">
        <v>0.73517724543465401</v>
      </c>
      <c r="K10" s="646">
        <v>1.1257666995002999</v>
      </c>
      <c r="L10" s="646">
        <v>1.42973806995471</v>
      </c>
      <c r="M10" s="646">
        <v>2.8744509196230599</v>
      </c>
      <c r="N10" s="646">
        <v>0.69610473351953805</v>
      </c>
      <c r="O10" s="646">
        <v>0.53107608599151401</v>
      </c>
      <c r="P10" s="646">
        <v>0.74386373454180499</v>
      </c>
      <c r="Q10" s="646">
        <v>0.13331493791101001</v>
      </c>
      <c r="R10" s="646"/>
      <c r="S10" s="646"/>
      <c r="T10" s="646"/>
      <c r="U10" s="646"/>
      <c r="V10" s="646"/>
      <c r="W10" s="646"/>
      <c r="X10" s="646"/>
      <c r="Y10" s="646"/>
      <c r="Z10" s="646"/>
      <c r="AA10" s="646"/>
      <c r="AB10" s="646"/>
      <c r="AC10" s="646"/>
      <c r="AD10" s="646"/>
      <c r="AE10" s="646"/>
      <c r="AF10" s="646"/>
      <c r="AG10" s="646"/>
      <c r="AH10" s="646"/>
      <c r="AI10" s="646"/>
      <c r="AJ10" s="646"/>
      <c r="AK10" s="646"/>
      <c r="AL10" s="646"/>
      <c r="AM10" s="646"/>
      <c r="AN10" s="646"/>
    </row>
    <row r="11" spans="2:40" x14ac:dyDescent="0.2">
      <c r="B11" s="248">
        <f t="shared" si="0"/>
        <v>13.37263881267017</v>
      </c>
      <c r="C11" s="200">
        <f t="shared" si="1"/>
        <v>0.95833333333333315</v>
      </c>
      <c r="D11" s="200">
        <f t="shared" si="2"/>
        <v>0.99999999999999978</v>
      </c>
      <c r="E11" s="201">
        <v>6</v>
      </c>
      <c r="F11" s="202" t="s">
        <v>340</v>
      </c>
      <c r="G11" s="203" t="s">
        <v>358</v>
      </c>
      <c r="H11" s="646">
        <v>2.4007765323729</v>
      </c>
      <c r="I11" s="646">
        <v>4.55203415559712</v>
      </c>
      <c r="J11" s="646">
        <v>0.69533056516396397</v>
      </c>
      <c r="K11" s="646">
        <v>0.94504866684280198</v>
      </c>
      <c r="L11" s="646">
        <v>1.1280583195751701</v>
      </c>
      <c r="M11" s="646">
        <v>2.0542426186764402</v>
      </c>
      <c r="N11" s="646">
        <v>0.44261379916358001</v>
      </c>
      <c r="O11" s="646">
        <v>0.44677518056927001</v>
      </c>
      <c r="P11" s="646">
        <v>0.59749448576437703</v>
      </c>
      <c r="Q11" s="646">
        <v>0.110264488944547</v>
      </c>
      <c r="R11" s="646"/>
      <c r="S11" s="646"/>
      <c r="T11" s="646"/>
      <c r="U11" s="646"/>
      <c r="V11" s="646"/>
      <c r="W11" s="646"/>
      <c r="X11" s="646"/>
      <c r="Y11" s="646"/>
      <c r="Z11" s="646"/>
      <c r="AA11" s="646"/>
      <c r="AB11" s="646"/>
      <c r="AC11" s="646"/>
      <c r="AD11" s="646"/>
      <c r="AE11" s="646"/>
      <c r="AF11" s="646"/>
      <c r="AG11" s="646"/>
      <c r="AH11" s="646"/>
      <c r="AI11" s="646"/>
      <c r="AJ11" s="646"/>
      <c r="AK11" s="646"/>
      <c r="AL11" s="646"/>
      <c r="AM11" s="646"/>
      <c r="AN11" s="646"/>
    </row>
    <row r="12" spans="2:40" x14ac:dyDescent="0.2">
      <c r="B12" s="248">
        <f t="shared" si="0"/>
        <v>11.114531978431614</v>
      </c>
      <c r="C12" s="200">
        <f t="shared" si="1"/>
        <v>0.99999999999999978</v>
      </c>
      <c r="D12" s="200">
        <f t="shared" si="2"/>
        <v>1.0416666666666665</v>
      </c>
      <c r="E12" s="201">
        <v>7</v>
      </c>
      <c r="F12" s="202" t="s">
        <v>340</v>
      </c>
      <c r="G12" s="203" t="s">
        <v>358</v>
      </c>
      <c r="H12" s="646">
        <v>2.0404850237123302</v>
      </c>
      <c r="I12" s="646">
        <v>3.7533030491069099</v>
      </c>
      <c r="J12" s="646">
        <v>0.54001870118902495</v>
      </c>
      <c r="K12" s="646">
        <v>0.78862717745255695</v>
      </c>
      <c r="L12" s="646">
        <v>0.87082870722871397</v>
      </c>
      <c r="M12" s="646">
        <v>1.8849972229112799</v>
      </c>
      <c r="N12" s="646">
        <v>0.38785262417658101</v>
      </c>
      <c r="O12" s="646">
        <v>0.20231645104753701</v>
      </c>
      <c r="P12" s="646">
        <v>0.58012286992289896</v>
      </c>
      <c r="Q12" s="646">
        <v>6.5980151683781199E-2</v>
      </c>
      <c r="R12" s="646"/>
      <c r="S12" s="646"/>
      <c r="T12" s="646"/>
      <c r="U12" s="646"/>
      <c r="V12" s="646"/>
      <c r="W12" s="646"/>
      <c r="X12" s="646"/>
      <c r="Y12" s="646"/>
      <c r="Z12" s="646"/>
      <c r="AA12" s="646"/>
      <c r="AB12" s="646"/>
      <c r="AC12" s="646"/>
      <c r="AD12" s="646"/>
      <c r="AE12" s="646"/>
      <c r="AF12" s="646"/>
      <c r="AG12" s="646"/>
      <c r="AH12" s="646"/>
      <c r="AI12" s="646"/>
      <c r="AJ12" s="646"/>
      <c r="AK12" s="646"/>
      <c r="AL12" s="646"/>
      <c r="AM12" s="646"/>
      <c r="AN12" s="646"/>
    </row>
    <row r="13" spans="2:40" x14ac:dyDescent="0.2">
      <c r="B13" s="248">
        <f t="shared" si="0"/>
        <v>9.9856517938284153</v>
      </c>
      <c r="C13" s="200">
        <f t="shared" si="1"/>
        <v>1.0416666666666665</v>
      </c>
      <c r="D13" s="200">
        <f t="shared" si="2"/>
        <v>1.0833333333333333</v>
      </c>
      <c r="E13" s="201">
        <v>8</v>
      </c>
      <c r="F13" s="202" t="s">
        <v>340</v>
      </c>
      <c r="G13" s="203" t="s">
        <v>358</v>
      </c>
      <c r="H13" s="646">
        <v>1.84050284863269</v>
      </c>
      <c r="I13" s="646">
        <v>3.31324145106769</v>
      </c>
      <c r="J13" s="646">
        <v>0.446524503970193</v>
      </c>
      <c r="K13" s="646">
        <v>0.67979632705135096</v>
      </c>
      <c r="L13" s="646">
        <v>0.79980957443909295</v>
      </c>
      <c r="M13" s="646">
        <v>1.81318310470938</v>
      </c>
      <c r="N13" s="646">
        <v>0.349751647567627</v>
      </c>
      <c r="O13" s="646">
        <v>0.194653103929011</v>
      </c>
      <c r="P13" s="646">
        <v>0.50502206816134798</v>
      </c>
      <c r="Q13" s="646">
        <v>4.3167164300031098E-2</v>
      </c>
      <c r="R13" s="646"/>
      <c r="S13" s="646"/>
      <c r="T13" s="646"/>
      <c r="U13" s="646"/>
      <c r="V13" s="646"/>
      <c r="W13" s="646"/>
      <c r="X13" s="646"/>
      <c r="Y13" s="646"/>
      <c r="Z13" s="646"/>
      <c r="AA13" s="646"/>
      <c r="AB13" s="646"/>
      <c r="AC13" s="646"/>
      <c r="AD13" s="646"/>
      <c r="AE13" s="646"/>
      <c r="AF13" s="646"/>
      <c r="AG13" s="646"/>
      <c r="AH13" s="646"/>
      <c r="AI13" s="646"/>
      <c r="AJ13" s="646"/>
      <c r="AK13" s="646"/>
      <c r="AL13" s="646"/>
      <c r="AM13" s="646"/>
      <c r="AN13" s="646"/>
    </row>
    <row r="14" spans="2:40" x14ac:dyDescent="0.2">
      <c r="B14" s="248">
        <f t="shared" si="0"/>
        <v>9.1878944024408771</v>
      </c>
      <c r="C14" s="200">
        <f t="shared" si="1"/>
        <v>1.0833333333333333</v>
      </c>
      <c r="D14" s="200">
        <f t="shared" si="2"/>
        <v>1.125</v>
      </c>
      <c r="E14" s="201">
        <v>9</v>
      </c>
      <c r="F14" s="202" t="s">
        <v>340</v>
      </c>
      <c r="G14" s="203" t="s">
        <v>358</v>
      </c>
      <c r="H14" s="646">
        <v>1.6879751842498101</v>
      </c>
      <c r="I14" s="646">
        <v>3.0821840560173501</v>
      </c>
      <c r="J14" s="646">
        <v>0.40744211485212301</v>
      </c>
      <c r="K14" s="646">
        <v>0.63959966682665503</v>
      </c>
      <c r="L14" s="646">
        <v>0.70606061350271998</v>
      </c>
      <c r="M14" s="646">
        <v>1.66134368382824</v>
      </c>
      <c r="N14" s="646">
        <v>0.327575841952292</v>
      </c>
      <c r="O14" s="646">
        <v>0.16706505430231999</v>
      </c>
      <c r="P14" s="646">
        <v>0.475135695585509</v>
      </c>
      <c r="Q14" s="646">
        <v>3.3512491323858598E-2</v>
      </c>
      <c r="R14" s="646"/>
      <c r="S14" s="646"/>
      <c r="T14" s="646"/>
      <c r="U14" s="646"/>
      <c r="V14" s="646"/>
      <c r="W14" s="646"/>
      <c r="X14" s="646"/>
      <c r="Y14" s="646"/>
      <c r="Z14" s="646"/>
      <c r="AA14" s="646"/>
      <c r="AB14" s="646"/>
      <c r="AC14" s="646"/>
      <c r="AD14" s="646"/>
      <c r="AE14" s="646"/>
      <c r="AF14" s="646"/>
      <c r="AG14" s="646"/>
      <c r="AH14" s="646"/>
      <c r="AI14" s="646"/>
      <c r="AJ14" s="646"/>
      <c r="AK14" s="646"/>
      <c r="AL14" s="646"/>
      <c r="AM14" s="646"/>
      <c r="AN14" s="646"/>
    </row>
    <row r="15" spans="2:40" x14ac:dyDescent="0.2">
      <c r="B15" s="248">
        <f t="shared" si="0"/>
        <v>8.6916461923557069</v>
      </c>
      <c r="C15" s="200">
        <f t="shared" si="1"/>
        <v>1.125</v>
      </c>
      <c r="D15" s="200">
        <f t="shared" si="2"/>
        <v>1.1666666666666667</v>
      </c>
      <c r="E15" s="201">
        <v>10</v>
      </c>
      <c r="F15" s="202" t="s">
        <v>340</v>
      </c>
      <c r="G15" s="203" t="s">
        <v>358</v>
      </c>
      <c r="H15" s="646">
        <v>1.5418015994569401</v>
      </c>
      <c r="I15" s="646">
        <v>2.8976585182944401</v>
      </c>
      <c r="J15" s="646">
        <v>0.40948839882937199</v>
      </c>
      <c r="K15" s="646">
        <v>0.62813576274409999</v>
      </c>
      <c r="L15" s="646">
        <v>0.66800000400045401</v>
      </c>
      <c r="M15" s="646">
        <v>1.58827704092584</v>
      </c>
      <c r="N15" s="646">
        <v>0.32392224414447102</v>
      </c>
      <c r="O15" s="646">
        <v>0.16630076314969899</v>
      </c>
      <c r="P15" s="646">
        <v>0.434516549925271</v>
      </c>
      <c r="Q15" s="646">
        <v>3.3545310885118203E-2</v>
      </c>
      <c r="R15" s="646"/>
      <c r="S15" s="646"/>
      <c r="T15" s="646"/>
      <c r="U15" s="646"/>
      <c r="V15" s="646"/>
      <c r="W15" s="646"/>
      <c r="X15" s="646"/>
      <c r="Y15" s="646"/>
      <c r="Z15" s="646"/>
      <c r="AA15" s="646"/>
      <c r="AB15" s="646"/>
      <c r="AC15" s="646"/>
      <c r="AD15" s="646"/>
      <c r="AE15" s="646"/>
      <c r="AF15" s="646"/>
      <c r="AG15" s="646"/>
      <c r="AH15" s="646"/>
      <c r="AI15" s="646"/>
      <c r="AJ15" s="646"/>
      <c r="AK15" s="646"/>
      <c r="AL15" s="646"/>
      <c r="AM15" s="646"/>
      <c r="AN15" s="646"/>
    </row>
    <row r="16" spans="2:40" x14ac:dyDescent="0.2">
      <c r="B16" s="248">
        <f t="shared" si="0"/>
        <v>8.587738725726469</v>
      </c>
      <c r="C16" s="200">
        <f t="shared" si="1"/>
        <v>1.1666666666666667</v>
      </c>
      <c r="D16" s="200">
        <f t="shared" si="2"/>
        <v>1.2083333333333335</v>
      </c>
      <c r="E16" s="201">
        <v>11</v>
      </c>
      <c r="F16" s="202" t="s">
        <v>340</v>
      </c>
      <c r="G16" s="203" t="s">
        <v>358</v>
      </c>
      <c r="H16" s="646">
        <v>1.51066824703798</v>
      </c>
      <c r="I16" s="646">
        <v>2.8915897195731501</v>
      </c>
      <c r="J16" s="646">
        <v>0.40080327209504302</v>
      </c>
      <c r="K16" s="646">
        <v>0.61107258810931198</v>
      </c>
      <c r="L16" s="646">
        <v>0.65190765623796099</v>
      </c>
      <c r="M16" s="646">
        <v>1.5555540855229699</v>
      </c>
      <c r="N16" s="646">
        <v>0.35934006835351101</v>
      </c>
      <c r="O16" s="646">
        <v>0.15863741603117301</v>
      </c>
      <c r="P16" s="646">
        <v>0.41765991101015698</v>
      </c>
      <c r="Q16" s="646">
        <v>3.0505761755210799E-2</v>
      </c>
      <c r="R16" s="646"/>
      <c r="S16" s="646"/>
      <c r="T16" s="646"/>
      <c r="U16" s="646"/>
      <c r="V16" s="646"/>
      <c r="W16" s="646"/>
      <c r="X16" s="646"/>
      <c r="Y16" s="646"/>
      <c r="Z16" s="646"/>
      <c r="AA16" s="646"/>
      <c r="AB16" s="646"/>
      <c r="AC16" s="646"/>
      <c r="AD16" s="646"/>
      <c r="AE16" s="646"/>
      <c r="AF16" s="646"/>
      <c r="AG16" s="646"/>
      <c r="AH16" s="646"/>
      <c r="AI16" s="646"/>
      <c r="AJ16" s="646"/>
      <c r="AK16" s="646"/>
      <c r="AL16" s="646"/>
      <c r="AM16" s="646"/>
      <c r="AN16" s="646"/>
    </row>
    <row r="17" spans="2:40" x14ac:dyDescent="0.2">
      <c r="B17" s="248">
        <f t="shared" si="0"/>
        <v>8.9165146546493919</v>
      </c>
      <c r="C17" s="200">
        <f t="shared" si="1"/>
        <v>1.2083333333333335</v>
      </c>
      <c r="D17" s="200">
        <f t="shared" si="2"/>
        <v>1.2500000000000002</v>
      </c>
      <c r="E17" s="201">
        <v>12</v>
      </c>
      <c r="F17" s="202" t="s">
        <v>340</v>
      </c>
      <c r="G17" s="203" t="s">
        <v>358</v>
      </c>
      <c r="H17" s="646">
        <v>1.4694615508511999</v>
      </c>
      <c r="I17" s="646">
        <v>3.0038051672686601</v>
      </c>
      <c r="J17" s="646">
        <v>0.41842556453559898</v>
      </c>
      <c r="K17" s="646">
        <v>0.64103466774281703</v>
      </c>
      <c r="L17" s="646">
        <v>0.77477733622473099</v>
      </c>
      <c r="M17" s="646">
        <v>1.67446866097289</v>
      </c>
      <c r="N17" s="646">
        <v>0.30945752319131198</v>
      </c>
      <c r="O17" s="646">
        <v>0.18316012681045499</v>
      </c>
      <c r="P17" s="646">
        <v>0.42072388748474698</v>
      </c>
      <c r="Q17" s="646">
        <v>2.1200169566981501E-2</v>
      </c>
      <c r="R17" s="646"/>
      <c r="S17" s="646"/>
      <c r="T17" s="646"/>
      <c r="U17" s="646"/>
      <c r="V17" s="646"/>
      <c r="W17" s="646"/>
      <c r="X17" s="646"/>
      <c r="Y17" s="646"/>
      <c r="Z17" s="646"/>
      <c r="AA17" s="646"/>
      <c r="AB17" s="646"/>
      <c r="AC17" s="646"/>
      <c r="AD17" s="646"/>
      <c r="AE17" s="646"/>
      <c r="AF17" s="646"/>
      <c r="AG17" s="646"/>
      <c r="AH17" s="646"/>
      <c r="AI17" s="646"/>
      <c r="AJ17" s="646"/>
      <c r="AK17" s="646"/>
      <c r="AL17" s="646"/>
      <c r="AM17" s="646"/>
      <c r="AN17" s="646"/>
    </row>
    <row r="18" spans="2:40" x14ac:dyDescent="0.2">
      <c r="B18" s="248">
        <f t="shared" si="0"/>
        <v>10.278807831405469</v>
      </c>
      <c r="C18" s="200">
        <f t="shared" si="1"/>
        <v>1.2500000000000002</v>
      </c>
      <c r="D18" s="200">
        <f t="shared" si="2"/>
        <v>1.291666666666667</v>
      </c>
      <c r="E18" s="201">
        <v>13</v>
      </c>
      <c r="F18" s="202" t="s">
        <v>340</v>
      </c>
      <c r="G18" s="203" t="s">
        <v>358</v>
      </c>
      <c r="H18" s="646">
        <v>1.43154452182054</v>
      </c>
      <c r="I18" s="646">
        <v>3.5824444268131401</v>
      </c>
      <c r="J18" s="646">
        <v>0.56377712081568598</v>
      </c>
      <c r="K18" s="646">
        <v>0.90320555181638396</v>
      </c>
      <c r="L18" s="646">
        <v>1.0726260942314201</v>
      </c>
      <c r="M18" s="646">
        <v>1.57213597471126</v>
      </c>
      <c r="N18" s="646">
        <v>0.28750565079657597</v>
      </c>
      <c r="O18" s="646">
        <v>0.35481501514696401</v>
      </c>
      <c r="P18" s="646">
        <v>0.50170332796921902</v>
      </c>
      <c r="Q18" s="646">
        <v>9.0501472842785396E-3</v>
      </c>
      <c r="R18" s="646"/>
      <c r="S18" s="646"/>
      <c r="T18" s="646"/>
      <c r="U18" s="646"/>
      <c r="V18" s="646"/>
      <c r="W18" s="646"/>
      <c r="X18" s="646"/>
      <c r="Y18" s="646"/>
      <c r="Z18" s="646"/>
      <c r="AA18" s="646"/>
      <c r="AB18" s="646"/>
      <c r="AC18" s="646"/>
      <c r="AD18" s="646"/>
      <c r="AE18" s="646"/>
      <c r="AF18" s="646"/>
      <c r="AG18" s="646"/>
      <c r="AH18" s="646"/>
      <c r="AI18" s="646"/>
      <c r="AJ18" s="646"/>
      <c r="AK18" s="646"/>
      <c r="AL18" s="646"/>
      <c r="AM18" s="646"/>
      <c r="AN18" s="646"/>
    </row>
    <row r="19" spans="2:40" x14ac:dyDescent="0.2">
      <c r="B19" s="248">
        <f t="shared" si="0"/>
        <v>10.309486423776768</v>
      </c>
      <c r="C19" s="200">
        <f t="shared" si="1"/>
        <v>1.291666666666667</v>
      </c>
      <c r="D19" s="200">
        <f t="shared" si="2"/>
        <v>1.3333333333333337</v>
      </c>
      <c r="E19" s="201">
        <v>14</v>
      </c>
      <c r="F19" s="202" t="s">
        <v>340</v>
      </c>
      <c r="G19" s="203" t="s">
        <v>358</v>
      </c>
      <c r="H19" s="646">
        <v>1.25172527376056</v>
      </c>
      <c r="I19" s="646">
        <v>3.3411316477386399</v>
      </c>
      <c r="J19" s="646">
        <v>0.71142155055363598</v>
      </c>
      <c r="K19" s="646">
        <v>0.99351657856251196</v>
      </c>
      <c r="L19" s="646">
        <v>0.88998503146579699</v>
      </c>
      <c r="M19" s="646">
        <v>1.56617342744629</v>
      </c>
      <c r="N19" s="646">
        <v>0.71011096152349396</v>
      </c>
      <c r="O19" s="646">
        <v>0.387005160163234</v>
      </c>
      <c r="P19" s="646">
        <v>0.44320576377806398</v>
      </c>
      <c r="Q19" s="646">
        <v>1.5211028784542099E-2</v>
      </c>
      <c r="R19" s="646"/>
      <c r="S19" s="646"/>
      <c r="T19" s="646"/>
      <c r="U19" s="646"/>
      <c r="V19" s="646"/>
      <c r="W19" s="646"/>
      <c r="X19" s="646"/>
      <c r="Y19" s="646"/>
      <c r="Z19" s="646"/>
      <c r="AA19" s="646"/>
      <c r="AB19" s="646"/>
      <c r="AC19" s="646"/>
      <c r="AD19" s="646"/>
      <c r="AE19" s="646"/>
      <c r="AF19" s="646"/>
      <c r="AG19" s="646"/>
      <c r="AH19" s="646"/>
      <c r="AI19" s="646"/>
      <c r="AJ19" s="646"/>
      <c r="AK19" s="646"/>
      <c r="AL19" s="646"/>
      <c r="AM19" s="646"/>
      <c r="AN19" s="646"/>
    </row>
    <row r="20" spans="2:40" x14ac:dyDescent="0.2">
      <c r="B20" s="248">
        <f t="shared" si="0"/>
        <v>10.531247422655404</v>
      </c>
      <c r="C20" s="200">
        <f t="shared" si="1"/>
        <v>1.3333333333333337</v>
      </c>
      <c r="D20" s="200">
        <f t="shared" si="2"/>
        <v>1.3750000000000004</v>
      </c>
      <c r="E20" s="201">
        <v>15</v>
      </c>
      <c r="F20" s="202" t="s">
        <v>340</v>
      </c>
      <c r="G20" s="203" t="s">
        <v>358</v>
      </c>
      <c r="H20" s="646">
        <v>1.0598709740602399</v>
      </c>
      <c r="I20" s="646">
        <v>3.08597748777153</v>
      </c>
      <c r="J20" s="646">
        <v>0.87771822658487098</v>
      </c>
      <c r="K20" s="646">
        <v>1.2757003106657701</v>
      </c>
      <c r="L20" s="646">
        <v>0.45291539487383797</v>
      </c>
      <c r="M20" s="646">
        <v>1.5701660653543601</v>
      </c>
      <c r="N20" s="646">
        <v>1.48865585804253</v>
      </c>
      <c r="O20" s="646">
        <v>0.22990450067422899</v>
      </c>
      <c r="P20" s="646">
        <v>0.45878858410547602</v>
      </c>
      <c r="Q20" s="646">
        <v>3.1550020522561902E-2</v>
      </c>
      <c r="R20" s="646"/>
      <c r="S20" s="646"/>
      <c r="T20" s="646"/>
      <c r="U20" s="646"/>
      <c r="V20" s="646"/>
      <c r="W20" s="646"/>
      <c r="X20" s="646"/>
      <c r="Y20" s="646"/>
      <c r="Z20" s="646"/>
      <c r="AA20" s="646"/>
      <c r="AB20" s="646"/>
      <c r="AC20" s="646"/>
      <c r="AD20" s="646"/>
      <c r="AE20" s="646"/>
      <c r="AF20" s="646"/>
      <c r="AG20" s="646"/>
      <c r="AH20" s="646"/>
      <c r="AI20" s="646"/>
      <c r="AJ20" s="646"/>
      <c r="AK20" s="646"/>
      <c r="AL20" s="646"/>
      <c r="AM20" s="646"/>
      <c r="AN20" s="646"/>
    </row>
    <row r="21" spans="2:40" x14ac:dyDescent="0.2">
      <c r="B21" s="248">
        <f t="shared" si="0"/>
        <v>10.760260536416535</v>
      </c>
      <c r="C21" s="200">
        <f t="shared" si="1"/>
        <v>1.3750000000000004</v>
      </c>
      <c r="D21" s="200">
        <f t="shared" si="2"/>
        <v>1.4166666666666672</v>
      </c>
      <c r="E21" s="201">
        <v>16</v>
      </c>
      <c r="F21" s="202" t="s">
        <v>340</v>
      </c>
      <c r="G21" s="203" t="s">
        <v>358</v>
      </c>
      <c r="H21" s="646">
        <v>0.78893238983566105</v>
      </c>
      <c r="I21" s="646">
        <v>2.9100367107772098</v>
      </c>
      <c r="J21" s="646">
        <v>0.93851138897953201</v>
      </c>
      <c r="K21" s="646">
        <v>1.33359844443938</v>
      </c>
      <c r="L21" s="646">
        <v>0.16732935462960699</v>
      </c>
      <c r="M21" s="646">
        <v>1.63792905898298</v>
      </c>
      <c r="N21" s="646">
        <v>1.8409100891163701</v>
      </c>
      <c r="O21" s="646">
        <v>0.18239174853937101</v>
      </c>
      <c r="P21" s="646">
        <v>0.50297578418409905</v>
      </c>
      <c r="Q21" s="646">
        <v>0.457645566932325</v>
      </c>
      <c r="R21" s="646"/>
      <c r="S21" s="646"/>
      <c r="T21" s="646"/>
      <c r="U21" s="646"/>
      <c r="V21" s="646"/>
      <c r="W21" s="646"/>
      <c r="X21" s="646"/>
      <c r="Y21" s="646"/>
      <c r="Z21" s="646"/>
      <c r="AA21" s="646"/>
      <c r="AB21" s="646"/>
      <c r="AC21" s="646"/>
      <c r="AD21" s="646"/>
      <c r="AE21" s="646"/>
      <c r="AF21" s="646"/>
      <c r="AG21" s="646"/>
      <c r="AH21" s="646"/>
      <c r="AI21" s="646"/>
      <c r="AJ21" s="646"/>
      <c r="AK21" s="646"/>
      <c r="AL21" s="646"/>
      <c r="AM21" s="646"/>
      <c r="AN21" s="646"/>
    </row>
    <row r="22" spans="2:40" x14ac:dyDescent="0.2">
      <c r="B22" s="248">
        <f t="shared" si="0"/>
        <v>11.470721178172001</v>
      </c>
      <c r="C22" s="200">
        <f t="shared" si="1"/>
        <v>1.4166666666666672</v>
      </c>
      <c r="D22" s="200">
        <f t="shared" si="2"/>
        <v>1.4583333333333339</v>
      </c>
      <c r="E22" s="201">
        <v>17</v>
      </c>
      <c r="F22" s="202" t="s">
        <v>340</v>
      </c>
      <c r="G22" s="203" t="s">
        <v>358</v>
      </c>
      <c r="H22" s="646">
        <v>0.92823686361722701</v>
      </c>
      <c r="I22" s="646">
        <v>3.0804042249164501</v>
      </c>
      <c r="J22" s="646">
        <v>0.86162315407673595</v>
      </c>
      <c r="K22" s="646">
        <v>1.50200934598045</v>
      </c>
      <c r="L22" s="646">
        <v>0.112146443512118</v>
      </c>
      <c r="M22" s="646">
        <v>1.6780983900088799</v>
      </c>
      <c r="N22" s="646">
        <v>2.1300156833065498</v>
      </c>
      <c r="O22" s="646">
        <v>0.26898552741947801</v>
      </c>
      <c r="P22" s="646">
        <v>0.54845178895145597</v>
      </c>
      <c r="Q22" s="646">
        <v>0.36074975638265799</v>
      </c>
      <c r="R22" s="646"/>
      <c r="S22" s="646"/>
      <c r="T22" s="646"/>
      <c r="U22" s="646"/>
      <c r="V22" s="646"/>
      <c r="W22" s="646"/>
      <c r="X22" s="646"/>
      <c r="Y22" s="646"/>
      <c r="Z22" s="646"/>
      <c r="AA22" s="646"/>
      <c r="AB22" s="646"/>
      <c r="AC22" s="646"/>
      <c r="AD22" s="646"/>
      <c r="AE22" s="646"/>
      <c r="AF22" s="646"/>
      <c r="AG22" s="646"/>
      <c r="AH22" s="646"/>
      <c r="AI22" s="646"/>
      <c r="AJ22" s="646"/>
      <c r="AK22" s="646"/>
      <c r="AL22" s="646"/>
      <c r="AM22" s="646"/>
      <c r="AN22" s="646"/>
    </row>
    <row r="23" spans="2:40" x14ac:dyDescent="0.2">
      <c r="B23" s="248">
        <f t="shared" si="0"/>
        <v>12.472651703158828</v>
      </c>
      <c r="C23" s="200">
        <f t="shared" si="1"/>
        <v>1.4583333333333339</v>
      </c>
      <c r="D23" s="200">
        <f t="shared" si="2"/>
        <v>1.5000000000000007</v>
      </c>
      <c r="E23" s="201">
        <v>18</v>
      </c>
      <c r="F23" s="202" t="s">
        <v>340</v>
      </c>
      <c r="G23" s="203" t="s">
        <v>358</v>
      </c>
      <c r="H23" s="646">
        <v>0.84842646162679003</v>
      </c>
      <c r="I23" s="646">
        <v>3.74648242494432</v>
      </c>
      <c r="J23" s="646">
        <v>0.86009048465303095</v>
      </c>
      <c r="K23" s="646">
        <v>1.5936473647254901</v>
      </c>
      <c r="L23" s="646">
        <v>0.31113870487624201</v>
      </c>
      <c r="M23" s="646">
        <v>1.9863448182571799</v>
      </c>
      <c r="N23" s="646">
        <v>2.0874082907512399</v>
      </c>
      <c r="O23" s="646">
        <v>0.20078378162383201</v>
      </c>
      <c r="P23" s="646">
        <v>0.60515647051008203</v>
      </c>
      <c r="Q23" s="646">
        <v>0.23317290119062001</v>
      </c>
      <c r="R23" s="646"/>
      <c r="S23" s="646"/>
      <c r="T23" s="646"/>
      <c r="U23" s="646"/>
      <c r="V23" s="646"/>
      <c r="W23" s="646"/>
      <c r="X23" s="646"/>
      <c r="Y23" s="646"/>
      <c r="Z23" s="646"/>
      <c r="AA23" s="646"/>
      <c r="AB23" s="646"/>
      <c r="AC23" s="646"/>
      <c r="AD23" s="646"/>
      <c r="AE23" s="646"/>
      <c r="AF23" s="646"/>
      <c r="AG23" s="646"/>
      <c r="AH23" s="646"/>
      <c r="AI23" s="646"/>
      <c r="AJ23" s="646"/>
      <c r="AK23" s="646"/>
      <c r="AL23" s="646"/>
      <c r="AM23" s="646"/>
      <c r="AN23" s="646"/>
    </row>
    <row r="24" spans="2:40" x14ac:dyDescent="0.2">
      <c r="B24" s="248">
        <f t="shared" si="0"/>
        <v>11.750486466914495</v>
      </c>
      <c r="C24" s="200">
        <f t="shared" si="1"/>
        <v>1.5000000000000007</v>
      </c>
      <c r="D24" s="200">
        <f t="shared" si="2"/>
        <v>1.5416666666666674</v>
      </c>
      <c r="E24" s="201">
        <v>19</v>
      </c>
      <c r="F24" s="202" t="s">
        <v>340</v>
      </c>
      <c r="G24" s="203" t="s">
        <v>358</v>
      </c>
      <c r="H24" s="646">
        <v>0.72100132027210595</v>
      </c>
      <c r="I24" s="646">
        <v>3.7961900823074801</v>
      </c>
      <c r="J24" s="646">
        <v>0.58088852344834097</v>
      </c>
      <c r="K24" s="646">
        <v>1.3710056463129301</v>
      </c>
      <c r="L24" s="646">
        <v>0.25775685062820902</v>
      </c>
      <c r="M24" s="646">
        <v>1.88214407363075</v>
      </c>
      <c r="N24" s="646">
        <v>1.7111905893174499</v>
      </c>
      <c r="O24" s="646">
        <v>0.29044698646981199</v>
      </c>
      <c r="P24" s="646">
        <v>0.59826013928981903</v>
      </c>
      <c r="Q24" s="646">
        <v>0.54160225523759797</v>
      </c>
      <c r="R24" s="646"/>
      <c r="S24" s="646"/>
      <c r="T24" s="646"/>
      <c r="U24" s="646"/>
      <c r="V24" s="646"/>
      <c r="W24" s="646"/>
      <c r="X24" s="646"/>
      <c r="Y24" s="646"/>
      <c r="Z24" s="646"/>
      <c r="AA24" s="646"/>
      <c r="AB24" s="646"/>
      <c r="AC24" s="646"/>
      <c r="AD24" s="646"/>
      <c r="AE24" s="646"/>
      <c r="AF24" s="646"/>
      <c r="AG24" s="646"/>
      <c r="AH24" s="646"/>
      <c r="AI24" s="646"/>
      <c r="AJ24" s="646"/>
      <c r="AK24" s="646"/>
      <c r="AL24" s="646"/>
      <c r="AM24" s="646"/>
      <c r="AN24" s="646"/>
    </row>
    <row r="25" spans="2:40" x14ac:dyDescent="0.2">
      <c r="B25" s="248">
        <f t="shared" si="0"/>
        <v>11.122970515685331</v>
      </c>
      <c r="C25" s="200">
        <f t="shared" si="1"/>
        <v>1.5416666666666674</v>
      </c>
      <c r="D25" s="200">
        <f t="shared" si="2"/>
        <v>1.5833333333333341</v>
      </c>
      <c r="E25" s="201">
        <v>20</v>
      </c>
      <c r="F25" s="202" t="s">
        <v>340</v>
      </c>
      <c r="G25" s="203" t="s">
        <v>358</v>
      </c>
      <c r="H25" s="646">
        <v>0.63155653103679898</v>
      </c>
      <c r="I25" s="646">
        <v>3.2478768466719301</v>
      </c>
      <c r="J25" s="646">
        <v>0.66212409002317396</v>
      </c>
      <c r="K25" s="646">
        <v>1.3166571613008899</v>
      </c>
      <c r="L25" s="646">
        <v>0.33106885687569199</v>
      </c>
      <c r="M25" s="646">
        <v>1.59316144721139</v>
      </c>
      <c r="N25" s="646">
        <v>2.1689119722972601</v>
      </c>
      <c r="O25" s="646">
        <v>0.216110475860883</v>
      </c>
      <c r="P25" s="646">
        <v>0.55611241132433997</v>
      </c>
      <c r="Q25" s="646">
        <v>0.39939072308297202</v>
      </c>
      <c r="R25" s="646"/>
      <c r="S25" s="646"/>
      <c r="T25" s="646"/>
      <c r="U25" s="646"/>
      <c r="V25" s="646"/>
      <c r="W25" s="646"/>
      <c r="X25" s="646"/>
      <c r="Y25" s="646"/>
      <c r="Z25" s="646"/>
      <c r="AA25" s="646"/>
      <c r="AB25" s="646"/>
      <c r="AC25" s="646"/>
      <c r="AD25" s="646"/>
      <c r="AE25" s="646"/>
      <c r="AF25" s="646"/>
      <c r="AG25" s="646"/>
      <c r="AH25" s="646"/>
      <c r="AI25" s="646"/>
      <c r="AJ25" s="646"/>
      <c r="AK25" s="646"/>
      <c r="AL25" s="646"/>
      <c r="AM25" s="646"/>
      <c r="AN25" s="646"/>
    </row>
    <row r="26" spans="2:40" x14ac:dyDescent="0.2">
      <c r="B26" s="248">
        <f t="shared" si="0"/>
        <v>12.148142862148781</v>
      </c>
      <c r="C26" s="200">
        <f t="shared" si="1"/>
        <v>1.5833333333333341</v>
      </c>
      <c r="D26" s="200">
        <f t="shared" si="2"/>
        <v>1.6250000000000009</v>
      </c>
      <c r="E26" s="201">
        <v>21</v>
      </c>
      <c r="F26" s="202" t="s">
        <v>340</v>
      </c>
      <c r="G26" s="203" t="s">
        <v>358</v>
      </c>
      <c r="H26" s="646">
        <v>0.90365559805409801</v>
      </c>
      <c r="I26" s="646">
        <v>3.4412958860521501</v>
      </c>
      <c r="J26" s="646">
        <v>0.867496343308374</v>
      </c>
      <c r="K26" s="646">
        <v>1.3041260969638599</v>
      </c>
      <c r="L26" s="646">
        <v>0.51013777810447103</v>
      </c>
      <c r="M26" s="646">
        <v>1.6878774612473499</v>
      </c>
      <c r="N26" s="646">
        <v>2.5323920872980898</v>
      </c>
      <c r="O26" s="646">
        <v>0.21227675874238899</v>
      </c>
      <c r="P26" s="646">
        <v>0.62865740167355999</v>
      </c>
      <c r="Q26" s="646">
        <v>6.0227450704438801E-2</v>
      </c>
      <c r="R26" s="646"/>
      <c r="S26" s="646"/>
      <c r="T26" s="646"/>
      <c r="U26" s="646"/>
      <c r="V26" s="646"/>
      <c r="W26" s="646"/>
      <c r="X26" s="646"/>
      <c r="Y26" s="646"/>
      <c r="Z26" s="646"/>
      <c r="AA26" s="646"/>
      <c r="AB26" s="646"/>
      <c r="AC26" s="646"/>
      <c r="AD26" s="646"/>
      <c r="AE26" s="646"/>
      <c r="AF26" s="646"/>
      <c r="AG26" s="646"/>
      <c r="AH26" s="646"/>
      <c r="AI26" s="646"/>
      <c r="AJ26" s="646"/>
      <c r="AK26" s="646"/>
      <c r="AL26" s="646"/>
      <c r="AM26" s="646"/>
      <c r="AN26" s="646"/>
    </row>
    <row r="27" spans="2:40" x14ac:dyDescent="0.2">
      <c r="B27" s="248">
        <f t="shared" si="0"/>
        <v>12.799414303903019</v>
      </c>
      <c r="C27" s="200">
        <f t="shared" si="1"/>
        <v>1.6250000000000009</v>
      </c>
      <c r="D27" s="200">
        <f t="shared" si="2"/>
        <v>1.6666666666666676</v>
      </c>
      <c r="E27" s="201">
        <v>22</v>
      </c>
      <c r="F27" s="202" t="s">
        <v>340</v>
      </c>
      <c r="G27" s="203" t="s">
        <v>358</v>
      </c>
      <c r="H27" s="646">
        <v>1.0457577861661</v>
      </c>
      <c r="I27" s="646">
        <v>3.4952083163953498</v>
      </c>
      <c r="J27" s="646">
        <v>1.0069692608655401</v>
      </c>
      <c r="K27" s="646">
        <v>1.29922162292665</v>
      </c>
      <c r="L27" s="646">
        <v>0.66978879951452097</v>
      </c>
      <c r="M27" s="646">
        <v>1.79491444810759</v>
      </c>
      <c r="N27" s="646">
        <v>2.4313274567871201</v>
      </c>
      <c r="O27" s="646">
        <v>0.261326267419415</v>
      </c>
      <c r="P27" s="646">
        <v>0.76685513827020202</v>
      </c>
      <c r="Q27" s="646">
        <v>2.8045207450530601E-2</v>
      </c>
      <c r="R27" s="646"/>
      <c r="S27" s="646"/>
      <c r="T27" s="646"/>
      <c r="U27" s="646"/>
      <c r="V27" s="646"/>
      <c r="W27" s="646"/>
      <c r="X27" s="646"/>
      <c r="Y27" s="646"/>
      <c r="Z27" s="646"/>
      <c r="AA27" s="646"/>
      <c r="AB27" s="646"/>
      <c r="AC27" s="646"/>
      <c r="AD27" s="646"/>
      <c r="AE27" s="646"/>
      <c r="AF27" s="646"/>
      <c r="AG27" s="646"/>
      <c r="AH27" s="646"/>
      <c r="AI27" s="646"/>
      <c r="AJ27" s="646"/>
      <c r="AK27" s="646"/>
      <c r="AL27" s="646"/>
      <c r="AM27" s="646"/>
      <c r="AN27" s="646"/>
    </row>
    <row r="28" spans="2:40" x14ac:dyDescent="0.2">
      <c r="B28" s="248">
        <f t="shared" si="0"/>
        <v>14.248312390125164</v>
      </c>
      <c r="C28" s="200">
        <f t="shared" si="1"/>
        <v>1.6666666666666676</v>
      </c>
      <c r="D28" s="200">
        <f t="shared" si="2"/>
        <v>1.7083333333333344</v>
      </c>
      <c r="E28" s="201">
        <v>23</v>
      </c>
      <c r="F28" s="202" t="s">
        <v>340</v>
      </c>
      <c r="G28" s="203" t="s">
        <v>358</v>
      </c>
      <c r="H28" s="646">
        <v>1.36692852766622</v>
      </c>
      <c r="I28" s="646">
        <v>3.8547002348235</v>
      </c>
      <c r="J28" s="646">
        <v>0.98474896015386804</v>
      </c>
      <c r="K28" s="646">
        <v>1.4417927806348501</v>
      </c>
      <c r="L28" s="646">
        <v>1.27442893072542</v>
      </c>
      <c r="M28" s="646">
        <v>1.7770801023374401</v>
      </c>
      <c r="N28" s="646">
        <v>2.4350904667562001</v>
      </c>
      <c r="O28" s="646">
        <v>0.264387519148362</v>
      </c>
      <c r="P28" s="646">
        <v>0.81564307136558301</v>
      </c>
      <c r="Q28" s="646">
        <v>3.3511796513719799E-2</v>
      </c>
      <c r="R28" s="646"/>
      <c r="S28" s="646"/>
      <c r="T28" s="646"/>
      <c r="U28" s="646"/>
      <c r="V28" s="646"/>
      <c r="W28" s="646"/>
      <c r="X28" s="646"/>
      <c r="Y28" s="646"/>
      <c r="Z28" s="646"/>
      <c r="AA28" s="646"/>
      <c r="AB28" s="646"/>
      <c r="AC28" s="646"/>
      <c r="AD28" s="646"/>
      <c r="AE28" s="646"/>
      <c r="AF28" s="646"/>
      <c r="AG28" s="646"/>
      <c r="AH28" s="646"/>
      <c r="AI28" s="646"/>
      <c r="AJ28" s="646"/>
      <c r="AK28" s="646"/>
      <c r="AL28" s="646"/>
      <c r="AM28" s="646"/>
      <c r="AN28" s="646"/>
    </row>
    <row r="29" spans="2:40" x14ac:dyDescent="0.2">
      <c r="B29" s="248">
        <f t="shared" si="0"/>
        <v>16.067554511718985</v>
      </c>
      <c r="C29" s="200">
        <f t="shared" si="1"/>
        <v>1.7083333333333344</v>
      </c>
      <c r="D29" s="200">
        <f t="shared" si="2"/>
        <v>1.7500000000000011</v>
      </c>
      <c r="E29" s="201">
        <v>24</v>
      </c>
      <c r="F29" s="202" t="s">
        <v>361</v>
      </c>
      <c r="G29" s="203" t="s">
        <v>358</v>
      </c>
      <c r="H29" s="646">
        <v>2.2273812944998399</v>
      </c>
      <c r="I29" s="646">
        <v>4.59439732920052</v>
      </c>
      <c r="J29" s="646">
        <v>0.900708267940448</v>
      </c>
      <c r="K29" s="646">
        <v>1.32168167400737</v>
      </c>
      <c r="L29" s="646">
        <v>1.8008988342088901</v>
      </c>
      <c r="M29" s="646">
        <v>2.2946763130644201</v>
      </c>
      <c r="N29" s="646">
        <v>1.8915749496236101</v>
      </c>
      <c r="O29" s="646">
        <v>0.239868895487544</v>
      </c>
      <c r="P29" s="646">
        <v>0.76557587019121598</v>
      </c>
      <c r="Q29" s="646">
        <v>3.07910834951278E-2</v>
      </c>
      <c r="R29" s="646"/>
      <c r="S29" s="646"/>
      <c r="T29" s="646"/>
      <c r="U29" s="646"/>
      <c r="V29" s="646"/>
      <c r="W29" s="646"/>
      <c r="X29" s="646"/>
      <c r="Y29" s="646"/>
      <c r="Z29" s="646"/>
      <c r="AA29" s="646"/>
      <c r="AB29" s="646"/>
      <c r="AC29" s="646"/>
      <c r="AD29" s="646"/>
      <c r="AE29" s="646"/>
      <c r="AF29" s="646"/>
      <c r="AG29" s="646"/>
      <c r="AH29" s="646"/>
      <c r="AI29" s="646"/>
      <c r="AJ29" s="646"/>
      <c r="AK29" s="646"/>
      <c r="AL29" s="646"/>
      <c r="AM29" s="646"/>
      <c r="AN29" s="646"/>
    </row>
    <row r="31" spans="2:40" ht="12" customHeight="1" x14ac:dyDescent="0.2">
      <c r="C31" s="814" t="s">
        <v>6</v>
      </c>
      <c r="D31" s="815"/>
      <c r="E31" s="805" t="s">
        <v>48</v>
      </c>
      <c r="F31" s="806"/>
      <c r="G31" s="807"/>
      <c r="H31" s="196" t="s">
        <v>3606</v>
      </c>
      <c r="I31" s="196" t="s">
        <v>666</v>
      </c>
      <c r="J31" s="247" t="s">
        <v>666</v>
      </c>
      <c r="K31" s="247" t="s">
        <v>666</v>
      </c>
      <c r="L31" s="247" t="s">
        <v>666</v>
      </c>
      <c r="M31" s="247"/>
      <c r="N31" s="247"/>
      <c r="O31" s="247"/>
      <c r="P31" s="247"/>
      <c r="Q31" s="247"/>
      <c r="R31" s="247"/>
      <c r="S31" s="247"/>
      <c r="T31" s="247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</row>
    <row r="32" spans="2:40" x14ac:dyDescent="0.2">
      <c r="C32" s="816"/>
      <c r="D32" s="817"/>
      <c r="E32" s="808"/>
      <c r="F32" s="809"/>
      <c r="G32" s="810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</row>
    <row r="33" spans="2:40" x14ac:dyDescent="0.2">
      <c r="C33" s="818"/>
      <c r="D33" s="819"/>
      <c r="E33" s="811"/>
      <c r="F33" s="812"/>
      <c r="G33" s="813"/>
      <c r="H33" s="196" t="s">
        <v>404</v>
      </c>
      <c r="I33" s="196" t="s">
        <v>390</v>
      </c>
      <c r="J33" s="196" t="s">
        <v>391</v>
      </c>
      <c r="K33" s="196" t="s">
        <v>392</v>
      </c>
      <c r="L33" s="196" t="s">
        <v>393</v>
      </c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</row>
    <row r="34" spans="2:40" x14ac:dyDescent="0.2">
      <c r="C34" s="803" t="s">
        <v>47</v>
      </c>
      <c r="D34" s="804"/>
      <c r="E34" s="244"/>
      <c r="F34" s="245" t="s">
        <v>360</v>
      </c>
      <c r="G34" s="246"/>
      <c r="H34" s="198" t="s">
        <v>343</v>
      </c>
      <c r="I34" s="198" t="s">
        <v>343</v>
      </c>
      <c r="J34" s="198" t="s">
        <v>343</v>
      </c>
      <c r="K34" s="198" t="s">
        <v>343</v>
      </c>
      <c r="L34" s="198" t="s">
        <v>343</v>
      </c>
      <c r="M34" s="198" t="s">
        <v>343</v>
      </c>
      <c r="N34" s="198" t="s">
        <v>343</v>
      </c>
      <c r="O34" s="198" t="s">
        <v>343</v>
      </c>
      <c r="P34" s="198" t="s">
        <v>343</v>
      </c>
      <c r="Q34" s="198" t="s">
        <v>343</v>
      </c>
      <c r="R34" s="198" t="s">
        <v>343</v>
      </c>
      <c r="S34" s="198" t="s">
        <v>343</v>
      </c>
      <c r="T34" s="198" t="s">
        <v>343</v>
      </c>
      <c r="U34" s="198" t="s">
        <v>343</v>
      </c>
      <c r="V34" s="198" t="s">
        <v>343</v>
      </c>
      <c r="W34" s="198" t="s">
        <v>343</v>
      </c>
      <c r="X34" s="198" t="s">
        <v>343</v>
      </c>
      <c r="Y34" s="198" t="s">
        <v>343</v>
      </c>
      <c r="Z34" s="198" t="s">
        <v>343</v>
      </c>
      <c r="AA34" s="198" t="s">
        <v>343</v>
      </c>
      <c r="AB34" s="198" t="s">
        <v>343</v>
      </c>
      <c r="AC34" s="198" t="s">
        <v>343</v>
      </c>
      <c r="AD34" s="198" t="s">
        <v>343</v>
      </c>
      <c r="AE34" s="198" t="s">
        <v>343</v>
      </c>
      <c r="AF34" s="198" t="s">
        <v>343</v>
      </c>
      <c r="AG34" s="198" t="s">
        <v>343</v>
      </c>
      <c r="AH34" s="198" t="s">
        <v>343</v>
      </c>
      <c r="AI34" s="198" t="s">
        <v>343</v>
      </c>
      <c r="AJ34" s="198" t="s">
        <v>343</v>
      </c>
      <c r="AK34" s="198" t="s">
        <v>343</v>
      </c>
      <c r="AL34" s="198" t="s">
        <v>343</v>
      </c>
      <c r="AM34" s="198" t="s">
        <v>343</v>
      </c>
      <c r="AN34" s="198" t="s">
        <v>343</v>
      </c>
    </row>
    <row r="35" spans="2:40" x14ac:dyDescent="0.2">
      <c r="B35" s="248">
        <f>SUM(H35:AN35)</f>
        <v>20.67938660560036</v>
      </c>
      <c r="C35" s="200">
        <f>C6</f>
        <v>0.75</v>
      </c>
      <c r="D35" s="200">
        <f>D6</f>
        <v>0.79166666666666663</v>
      </c>
      <c r="E35" s="201">
        <v>1</v>
      </c>
      <c r="F35" s="202" t="s">
        <v>339</v>
      </c>
      <c r="G35" s="203" t="s">
        <v>356</v>
      </c>
      <c r="H35" s="646">
        <v>9.3231904480275904</v>
      </c>
      <c r="I35" s="646">
        <v>7.1153935552490903</v>
      </c>
      <c r="J35" s="646">
        <v>1.9043598280045999</v>
      </c>
      <c r="K35" s="646">
        <v>1.88167533043673</v>
      </c>
      <c r="L35" s="646">
        <v>0.45476744388234902</v>
      </c>
      <c r="M35" s="646"/>
      <c r="N35" s="646"/>
      <c r="O35" s="646"/>
      <c r="P35" s="646"/>
      <c r="Q35" s="646"/>
      <c r="R35" s="646"/>
      <c r="S35" s="646"/>
      <c r="T35" s="646"/>
      <c r="U35" s="646"/>
      <c r="V35" s="646"/>
      <c r="W35" s="646"/>
      <c r="X35" s="646"/>
      <c r="Y35" s="646"/>
      <c r="Z35" s="646"/>
      <c r="AA35" s="646"/>
      <c r="AB35" s="646"/>
      <c r="AC35" s="646"/>
      <c r="AD35" s="646"/>
      <c r="AE35" s="646"/>
      <c r="AF35" s="646"/>
      <c r="AG35" s="646"/>
      <c r="AH35" s="646"/>
      <c r="AI35" s="646"/>
      <c r="AJ35" s="646"/>
      <c r="AK35" s="646"/>
      <c r="AL35" s="646"/>
      <c r="AM35" s="646"/>
      <c r="AN35" s="646"/>
    </row>
    <row r="36" spans="2:40" x14ac:dyDescent="0.2">
      <c r="B36" s="248">
        <f t="shared" ref="B36:B58" si="3">SUM(H36:AN36)</f>
        <v>21.177864593187348</v>
      </c>
      <c r="C36" s="200">
        <f t="shared" ref="C36:D36" si="4">C7</f>
        <v>0.79166666666666663</v>
      </c>
      <c r="D36" s="200">
        <f t="shared" si="4"/>
        <v>0.83333333333333326</v>
      </c>
      <c r="E36" s="201">
        <v>2</v>
      </c>
      <c r="F36" s="202" t="s">
        <v>339</v>
      </c>
      <c r="G36" s="203" t="s">
        <v>356</v>
      </c>
      <c r="H36" s="646">
        <v>10.108276536101</v>
      </c>
      <c r="I36" s="646">
        <v>6.90428647277691</v>
      </c>
      <c r="J36" s="646">
        <v>1.5706653995558</v>
      </c>
      <c r="K36" s="646">
        <v>1.93065401010872</v>
      </c>
      <c r="L36" s="646">
        <v>0.66398217464491405</v>
      </c>
      <c r="M36" s="646"/>
      <c r="N36" s="646"/>
      <c r="O36" s="646"/>
      <c r="P36" s="646"/>
      <c r="Q36" s="646"/>
      <c r="R36" s="646"/>
      <c r="S36" s="646"/>
      <c r="T36" s="646"/>
      <c r="U36" s="646"/>
      <c r="V36" s="646"/>
      <c r="W36" s="646"/>
      <c r="X36" s="646"/>
      <c r="Y36" s="646"/>
      <c r="Z36" s="646"/>
      <c r="AA36" s="646"/>
      <c r="AB36" s="646"/>
      <c r="AC36" s="646"/>
      <c r="AD36" s="646"/>
      <c r="AE36" s="646"/>
      <c r="AF36" s="646"/>
      <c r="AG36" s="646"/>
      <c r="AH36" s="646"/>
      <c r="AI36" s="646"/>
      <c r="AJ36" s="646"/>
      <c r="AK36" s="646"/>
      <c r="AL36" s="646"/>
      <c r="AM36" s="646"/>
      <c r="AN36" s="646"/>
    </row>
    <row r="37" spans="2:40" x14ac:dyDescent="0.2">
      <c r="B37" s="248">
        <f t="shared" si="3"/>
        <v>19.084969563590388</v>
      </c>
      <c r="C37" s="200">
        <f t="shared" ref="C37:D37" si="5">C8</f>
        <v>0.83333333333333326</v>
      </c>
      <c r="D37" s="200">
        <f t="shared" si="5"/>
        <v>0.87499999999999989</v>
      </c>
      <c r="E37" s="201">
        <v>3</v>
      </c>
      <c r="F37" s="202" t="s">
        <v>339</v>
      </c>
      <c r="G37" s="203" t="s">
        <v>356</v>
      </c>
      <c r="H37" s="646">
        <v>8.4189195677056592</v>
      </c>
      <c r="I37" s="646">
        <v>6.8226690478819103</v>
      </c>
      <c r="J37" s="646">
        <v>1.3780948108950599</v>
      </c>
      <c r="K37" s="646">
        <v>1.8296522333132199</v>
      </c>
      <c r="L37" s="646">
        <v>0.63563390379453899</v>
      </c>
      <c r="M37" s="646"/>
      <c r="N37" s="646"/>
      <c r="O37" s="646"/>
      <c r="P37" s="646"/>
      <c r="Q37" s="646"/>
      <c r="R37" s="646"/>
      <c r="S37" s="646"/>
      <c r="T37" s="646"/>
      <c r="U37" s="646"/>
      <c r="V37" s="646"/>
      <c r="W37" s="646"/>
      <c r="X37" s="646"/>
      <c r="Y37" s="646"/>
      <c r="Z37" s="646"/>
      <c r="AA37" s="646"/>
      <c r="AB37" s="646"/>
      <c r="AC37" s="646"/>
      <c r="AD37" s="646"/>
      <c r="AE37" s="646"/>
      <c r="AF37" s="646"/>
      <c r="AG37" s="646"/>
      <c r="AH37" s="646"/>
      <c r="AI37" s="646"/>
      <c r="AJ37" s="646"/>
      <c r="AK37" s="646"/>
      <c r="AL37" s="646"/>
      <c r="AM37" s="646"/>
      <c r="AN37" s="646"/>
    </row>
    <row r="38" spans="2:40" x14ac:dyDescent="0.2">
      <c r="B38" s="248">
        <f t="shared" si="3"/>
        <v>17.193081798969477</v>
      </c>
      <c r="C38" s="200">
        <f t="shared" ref="C38:D38" si="6">C9</f>
        <v>0.87499999999999989</v>
      </c>
      <c r="D38" s="200">
        <f t="shared" si="6"/>
        <v>0.91666666666666652</v>
      </c>
      <c r="E38" s="201">
        <v>4</v>
      </c>
      <c r="F38" s="202" t="s">
        <v>361</v>
      </c>
      <c r="G38" s="203" t="s">
        <v>358</v>
      </c>
      <c r="H38" s="646">
        <v>6.7576239037896499</v>
      </c>
      <c r="I38" s="646">
        <v>6.4554646627230303</v>
      </c>
      <c r="J38" s="646">
        <v>1.64416064874302</v>
      </c>
      <c r="K38" s="646">
        <v>1.71897720468943</v>
      </c>
      <c r="L38" s="646">
        <v>0.61685537902434595</v>
      </c>
      <c r="M38" s="646"/>
      <c r="N38" s="646"/>
      <c r="O38" s="646"/>
      <c r="P38" s="646"/>
      <c r="Q38" s="646"/>
      <c r="R38" s="646"/>
      <c r="S38" s="646"/>
      <c r="T38" s="646"/>
      <c r="U38" s="646"/>
      <c r="V38" s="646"/>
      <c r="W38" s="646"/>
      <c r="X38" s="646"/>
      <c r="Y38" s="646"/>
      <c r="Z38" s="646"/>
      <c r="AA38" s="646"/>
      <c r="AB38" s="646"/>
      <c r="AC38" s="646"/>
      <c r="AD38" s="646"/>
      <c r="AE38" s="646"/>
      <c r="AF38" s="646"/>
      <c r="AG38" s="646"/>
      <c r="AH38" s="646"/>
      <c r="AI38" s="646"/>
      <c r="AJ38" s="646"/>
      <c r="AK38" s="646"/>
      <c r="AL38" s="646"/>
      <c r="AM38" s="646"/>
      <c r="AN38" s="646"/>
    </row>
    <row r="39" spans="2:40" x14ac:dyDescent="0.2">
      <c r="B39" s="248">
        <f t="shared" si="3"/>
        <v>15.750417286766867</v>
      </c>
      <c r="C39" s="200">
        <f t="shared" ref="C39:D39" si="7">C10</f>
        <v>0.91666666666666652</v>
      </c>
      <c r="D39" s="200">
        <f t="shared" si="7"/>
        <v>0.95833333333333315</v>
      </c>
      <c r="E39" s="201">
        <v>5</v>
      </c>
      <c r="F39" s="202" t="s">
        <v>340</v>
      </c>
      <c r="G39" s="203" t="s">
        <v>358</v>
      </c>
      <c r="H39" s="646">
        <v>5.6218905972686297</v>
      </c>
      <c r="I39" s="646">
        <v>6.1461418872344797</v>
      </c>
      <c r="J39" s="646">
        <v>1.71910106490194</v>
      </c>
      <c r="K39" s="646">
        <v>1.6673498923628001</v>
      </c>
      <c r="L39" s="646">
        <v>0.59593384499901703</v>
      </c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46"/>
      <c r="AB39" s="646"/>
      <c r="AC39" s="646"/>
      <c r="AD39" s="646"/>
      <c r="AE39" s="646"/>
      <c r="AF39" s="646"/>
      <c r="AG39" s="646"/>
      <c r="AH39" s="646"/>
      <c r="AI39" s="646"/>
      <c r="AJ39" s="646"/>
      <c r="AK39" s="646"/>
      <c r="AL39" s="646"/>
      <c r="AM39" s="646"/>
      <c r="AN39" s="646"/>
    </row>
    <row r="40" spans="2:40" x14ac:dyDescent="0.2">
      <c r="B40" s="248">
        <f t="shared" si="3"/>
        <v>13.75454068225951</v>
      </c>
      <c r="C40" s="200">
        <f t="shared" ref="C40:D40" si="8">C11</f>
        <v>0.95833333333333315</v>
      </c>
      <c r="D40" s="200">
        <f t="shared" si="8"/>
        <v>0.99999999999999978</v>
      </c>
      <c r="E40" s="201">
        <v>6</v>
      </c>
      <c r="F40" s="202" t="s">
        <v>340</v>
      </c>
      <c r="G40" s="203" t="s">
        <v>358</v>
      </c>
      <c r="H40" s="646">
        <v>4.3464421692057398</v>
      </c>
      <c r="I40" s="646">
        <v>5.7987761286131603</v>
      </c>
      <c r="J40" s="646">
        <v>1.6644508806540299</v>
      </c>
      <c r="K40" s="646">
        <v>1.5785665262056801</v>
      </c>
      <c r="L40" s="646">
        <v>0.36630497758089903</v>
      </c>
      <c r="M40" s="646"/>
      <c r="N40" s="646"/>
      <c r="O40" s="646"/>
      <c r="P40" s="646"/>
      <c r="Q40" s="646"/>
      <c r="R40" s="646"/>
      <c r="S40" s="646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646"/>
      <c r="AG40" s="646"/>
      <c r="AH40" s="646"/>
      <c r="AI40" s="646"/>
      <c r="AJ40" s="646"/>
      <c r="AK40" s="646"/>
      <c r="AL40" s="646"/>
      <c r="AM40" s="646"/>
      <c r="AN40" s="646"/>
    </row>
    <row r="41" spans="2:40" x14ac:dyDescent="0.2">
      <c r="B41" s="248">
        <f t="shared" si="3"/>
        <v>15.84939594462756</v>
      </c>
      <c r="C41" s="200">
        <f t="shared" ref="C41:D41" si="9">C12</f>
        <v>0.99999999999999978</v>
      </c>
      <c r="D41" s="200">
        <f t="shared" si="9"/>
        <v>1.0416666666666665</v>
      </c>
      <c r="E41" s="201">
        <v>7</v>
      </c>
      <c r="F41" s="202" t="s">
        <v>340</v>
      </c>
      <c r="G41" s="203" t="s">
        <v>358</v>
      </c>
      <c r="H41" s="646">
        <v>3.46786135851585</v>
      </c>
      <c r="I41" s="646">
        <v>6.7787324795672097</v>
      </c>
      <c r="J41" s="646">
        <v>1.9108312396351199</v>
      </c>
      <c r="K41" s="646">
        <v>2.9588764217907899</v>
      </c>
      <c r="L41" s="646">
        <v>0.73309444511858901</v>
      </c>
      <c r="M41" s="646"/>
      <c r="N41" s="646"/>
      <c r="O41" s="646"/>
      <c r="P41" s="646"/>
      <c r="Q41" s="646"/>
      <c r="R41" s="646"/>
      <c r="S41" s="646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646"/>
      <c r="AG41" s="646"/>
      <c r="AH41" s="646"/>
      <c r="AI41" s="646"/>
      <c r="AJ41" s="646"/>
      <c r="AK41" s="646"/>
      <c r="AL41" s="646"/>
      <c r="AM41" s="646"/>
      <c r="AN41" s="646"/>
    </row>
    <row r="42" spans="2:40" x14ac:dyDescent="0.2">
      <c r="B42" s="248">
        <f t="shared" si="3"/>
        <v>14.094547974673848</v>
      </c>
      <c r="C42" s="200">
        <f t="shared" ref="C42:D42" si="10">C13</f>
        <v>1.0416666666666665</v>
      </c>
      <c r="D42" s="200">
        <f t="shared" si="10"/>
        <v>1.0833333333333333</v>
      </c>
      <c r="E42" s="201">
        <v>8</v>
      </c>
      <c r="F42" s="202" t="s">
        <v>340</v>
      </c>
      <c r="G42" s="203" t="s">
        <v>358</v>
      </c>
      <c r="H42" s="646">
        <v>2.7769936012721002</v>
      </c>
      <c r="I42" s="646">
        <v>6.1107701457382104</v>
      </c>
      <c r="J42" s="646">
        <v>1.8707180777327701</v>
      </c>
      <c r="K42" s="646">
        <v>2.5959886081077999</v>
      </c>
      <c r="L42" s="646">
        <v>0.74007754182296603</v>
      </c>
      <c r="M42" s="646"/>
      <c r="N42" s="646"/>
      <c r="O42" s="646"/>
      <c r="P42" s="646"/>
      <c r="Q42" s="646"/>
      <c r="R42" s="646"/>
      <c r="S42" s="646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646"/>
      <c r="AG42" s="646"/>
      <c r="AH42" s="646"/>
      <c r="AI42" s="646"/>
      <c r="AJ42" s="646"/>
      <c r="AK42" s="646"/>
      <c r="AL42" s="646"/>
      <c r="AM42" s="646"/>
      <c r="AN42" s="646"/>
    </row>
    <row r="43" spans="2:40" x14ac:dyDescent="0.2">
      <c r="B43" s="248">
        <f t="shared" si="3"/>
        <v>12.856905042230581</v>
      </c>
      <c r="C43" s="200">
        <f t="shared" ref="C43:D43" si="11">C14</f>
        <v>1.0833333333333333</v>
      </c>
      <c r="D43" s="200">
        <f t="shared" si="11"/>
        <v>1.125</v>
      </c>
      <c r="E43" s="201">
        <v>9</v>
      </c>
      <c r="F43" s="202" t="s">
        <v>340</v>
      </c>
      <c r="G43" s="203" t="s">
        <v>358</v>
      </c>
      <c r="H43" s="646">
        <v>2.39781288614043</v>
      </c>
      <c r="I43" s="646">
        <v>5.6421567562473403</v>
      </c>
      <c r="J43" s="646">
        <v>1.71595927781827</v>
      </c>
      <c r="K43" s="646">
        <v>2.3615004566090199</v>
      </c>
      <c r="L43" s="646">
        <v>0.73947566541552001</v>
      </c>
      <c r="M43" s="646"/>
      <c r="N43" s="646"/>
      <c r="O43" s="646"/>
      <c r="P43" s="646"/>
      <c r="Q43" s="646"/>
      <c r="R43" s="646"/>
      <c r="S43" s="646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646"/>
      <c r="AG43" s="646"/>
      <c r="AH43" s="646"/>
      <c r="AI43" s="646"/>
      <c r="AJ43" s="646"/>
      <c r="AK43" s="646"/>
      <c r="AL43" s="646"/>
      <c r="AM43" s="646"/>
      <c r="AN43" s="646"/>
    </row>
    <row r="44" spans="2:40" x14ac:dyDescent="0.2">
      <c r="B44" s="248">
        <f t="shared" si="3"/>
        <v>11.824993182011665</v>
      </c>
      <c r="C44" s="200">
        <f t="shared" ref="C44:D44" si="12">C15</f>
        <v>1.125</v>
      </c>
      <c r="D44" s="200">
        <f t="shared" si="12"/>
        <v>1.1666666666666667</v>
      </c>
      <c r="E44" s="201">
        <v>10</v>
      </c>
      <c r="F44" s="202" t="s">
        <v>340</v>
      </c>
      <c r="G44" s="203" t="s">
        <v>358</v>
      </c>
      <c r="H44" s="646">
        <v>2.1794213674968201</v>
      </c>
      <c r="I44" s="646">
        <v>5.23357493533838</v>
      </c>
      <c r="J44" s="646">
        <v>1.5486163568809099</v>
      </c>
      <c r="K44" s="646">
        <v>2.1263288460102401</v>
      </c>
      <c r="L44" s="646">
        <v>0.73705167628531498</v>
      </c>
      <c r="M44" s="646"/>
      <c r="N44" s="646"/>
      <c r="O44" s="646"/>
      <c r="P44" s="646"/>
      <c r="Q44" s="646"/>
      <c r="R44" s="646"/>
      <c r="S44" s="646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646"/>
      <c r="AG44" s="646"/>
      <c r="AH44" s="646"/>
      <c r="AI44" s="646"/>
      <c r="AJ44" s="646"/>
      <c r="AK44" s="646"/>
      <c r="AL44" s="646"/>
      <c r="AM44" s="646"/>
      <c r="AN44" s="646"/>
    </row>
    <row r="45" spans="2:40" x14ac:dyDescent="0.2">
      <c r="B45" s="248">
        <f t="shared" si="3"/>
        <v>11.338993236913922</v>
      </c>
      <c r="C45" s="200">
        <f t="shared" ref="C45:D45" si="13">C16</f>
        <v>1.1666666666666667</v>
      </c>
      <c r="D45" s="200">
        <f t="shared" si="13"/>
        <v>1.2083333333333335</v>
      </c>
      <c r="E45" s="201">
        <v>11</v>
      </c>
      <c r="F45" s="202" t="s">
        <v>340</v>
      </c>
      <c r="G45" s="203" t="s">
        <v>358</v>
      </c>
      <c r="H45" s="646">
        <v>2.18941848424751</v>
      </c>
      <c r="I45" s="646">
        <v>4.8604630337811097</v>
      </c>
      <c r="J45" s="646">
        <v>1.5824659587757699</v>
      </c>
      <c r="K45" s="646">
        <v>1.9582040116200301</v>
      </c>
      <c r="L45" s="646">
        <v>0.74844174848950196</v>
      </c>
      <c r="M45" s="646"/>
      <c r="N45" s="646"/>
      <c r="O45" s="646"/>
      <c r="P45" s="646"/>
      <c r="Q45" s="646"/>
      <c r="R45" s="646"/>
      <c r="S45" s="646"/>
      <c r="T45" s="646"/>
      <c r="U45" s="646"/>
      <c r="V45" s="646"/>
      <c r="W45" s="646"/>
      <c r="X45" s="646"/>
      <c r="Y45" s="646"/>
      <c r="Z45" s="646"/>
      <c r="AA45" s="646"/>
      <c r="AB45" s="646"/>
      <c r="AC45" s="646"/>
      <c r="AD45" s="646"/>
      <c r="AE45" s="646"/>
      <c r="AF45" s="646"/>
      <c r="AG45" s="646"/>
      <c r="AH45" s="646"/>
      <c r="AI45" s="646"/>
      <c r="AJ45" s="646"/>
      <c r="AK45" s="646"/>
      <c r="AL45" s="646"/>
      <c r="AM45" s="646"/>
      <c r="AN45" s="646"/>
    </row>
    <row r="46" spans="2:40" x14ac:dyDescent="0.2">
      <c r="B46" s="248">
        <f t="shared" si="3"/>
        <v>11.087064765905485</v>
      </c>
      <c r="C46" s="200">
        <f t="shared" ref="C46:D46" si="14">C17</f>
        <v>1.2083333333333335</v>
      </c>
      <c r="D46" s="200">
        <f t="shared" si="14"/>
        <v>1.2500000000000002</v>
      </c>
      <c r="E46" s="201">
        <v>12</v>
      </c>
      <c r="F46" s="202" t="s">
        <v>340</v>
      </c>
      <c r="G46" s="203" t="s">
        <v>358</v>
      </c>
      <c r="H46" s="646">
        <v>2.3493958064494098</v>
      </c>
      <c r="I46" s="646">
        <v>4.5688712512937801</v>
      </c>
      <c r="J46" s="646">
        <v>1.6390109267142701</v>
      </c>
      <c r="K46" s="646">
        <v>1.7931770224917201</v>
      </c>
      <c r="L46" s="646">
        <v>0.73660975895630298</v>
      </c>
      <c r="M46" s="646"/>
      <c r="N46" s="646"/>
      <c r="O46" s="646"/>
      <c r="P46" s="646"/>
      <c r="Q46" s="646"/>
      <c r="R46" s="646"/>
      <c r="S46" s="646"/>
      <c r="T46" s="646"/>
      <c r="U46" s="646"/>
      <c r="V46" s="646"/>
      <c r="W46" s="646"/>
      <c r="X46" s="646"/>
      <c r="Y46" s="646"/>
      <c r="Z46" s="646"/>
      <c r="AA46" s="646"/>
      <c r="AB46" s="646"/>
      <c r="AC46" s="646"/>
      <c r="AD46" s="646"/>
      <c r="AE46" s="646"/>
      <c r="AF46" s="646"/>
      <c r="AG46" s="646"/>
      <c r="AH46" s="646"/>
      <c r="AI46" s="646"/>
      <c r="AJ46" s="646"/>
      <c r="AK46" s="646"/>
      <c r="AL46" s="646"/>
      <c r="AM46" s="646"/>
      <c r="AN46" s="646"/>
    </row>
    <row r="47" spans="2:40" x14ac:dyDescent="0.2">
      <c r="B47" s="248">
        <f t="shared" si="3"/>
        <v>12.19772727951168</v>
      </c>
      <c r="C47" s="200">
        <f t="shared" ref="C47:D47" si="15">C18</f>
        <v>1.2500000000000002</v>
      </c>
      <c r="D47" s="200">
        <f t="shared" si="15"/>
        <v>1.291666666666667</v>
      </c>
      <c r="E47" s="201">
        <v>13</v>
      </c>
      <c r="F47" s="202" t="s">
        <v>340</v>
      </c>
      <c r="G47" s="203" t="s">
        <v>358</v>
      </c>
      <c r="H47" s="646">
        <v>3.4390310310819201</v>
      </c>
      <c r="I47" s="646">
        <v>4.5755567676429898</v>
      </c>
      <c r="J47" s="646">
        <v>1.7588912033686399</v>
      </c>
      <c r="K47" s="646">
        <v>1.7193968320720701</v>
      </c>
      <c r="L47" s="646">
        <v>0.70485144534606003</v>
      </c>
      <c r="M47" s="646"/>
      <c r="N47" s="646"/>
      <c r="O47" s="646"/>
      <c r="P47" s="646"/>
      <c r="Q47" s="646"/>
      <c r="R47" s="646"/>
      <c r="S47" s="646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646"/>
      <c r="AG47" s="646"/>
      <c r="AH47" s="646"/>
      <c r="AI47" s="646"/>
      <c r="AJ47" s="646"/>
      <c r="AK47" s="646"/>
      <c r="AL47" s="646"/>
      <c r="AM47" s="646"/>
      <c r="AN47" s="646"/>
    </row>
    <row r="48" spans="2:40" x14ac:dyDescent="0.2">
      <c r="B48" s="248">
        <f t="shared" si="3"/>
        <v>13.798073239605799</v>
      </c>
      <c r="C48" s="200">
        <f t="shared" ref="C48:D48" si="16">C19</f>
        <v>1.291666666666667</v>
      </c>
      <c r="D48" s="200">
        <f t="shared" si="16"/>
        <v>1.3333333333333337</v>
      </c>
      <c r="E48" s="201">
        <v>14</v>
      </c>
      <c r="F48" s="202" t="s">
        <v>340</v>
      </c>
      <c r="G48" s="203" t="s">
        <v>358</v>
      </c>
      <c r="H48" s="646">
        <v>4.0169806248622297</v>
      </c>
      <c r="I48" s="646">
        <v>5.3879664190564203</v>
      </c>
      <c r="J48" s="646">
        <v>2.0695278627239202</v>
      </c>
      <c r="K48" s="646">
        <v>1.6128334052550699</v>
      </c>
      <c r="L48" s="646">
        <v>0.71076492770815902</v>
      </c>
      <c r="M48" s="646"/>
      <c r="N48" s="646"/>
      <c r="O48" s="646"/>
      <c r="P48" s="646"/>
      <c r="Q48" s="646"/>
      <c r="R48" s="646"/>
      <c r="S48" s="646"/>
      <c r="T48" s="646"/>
      <c r="U48" s="646"/>
      <c r="V48" s="646"/>
      <c r="W48" s="646"/>
      <c r="X48" s="646"/>
      <c r="Y48" s="646"/>
      <c r="Z48" s="646"/>
      <c r="AA48" s="646"/>
      <c r="AB48" s="646"/>
      <c r="AC48" s="646"/>
      <c r="AD48" s="646"/>
      <c r="AE48" s="646"/>
      <c r="AF48" s="646"/>
      <c r="AG48" s="646"/>
      <c r="AH48" s="646"/>
      <c r="AI48" s="646"/>
      <c r="AJ48" s="646"/>
      <c r="AK48" s="646"/>
      <c r="AL48" s="646"/>
      <c r="AM48" s="646"/>
      <c r="AN48" s="646"/>
    </row>
    <row r="49" spans="2:40" x14ac:dyDescent="0.2">
      <c r="B49" s="248">
        <f t="shared" si="3"/>
        <v>18.191021005635239</v>
      </c>
      <c r="C49" s="200">
        <f t="shared" ref="C49:D49" si="17">C20</f>
        <v>1.3333333333333337</v>
      </c>
      <c r="D49" s="200">
        <f t="shared" si="17"/>
        <v>1.3750000000000004</v>
      </c>
      <c r="E49" s="201">
        <v>15</v>
      </c>
      <c r="F49" s="202" t="s">
        <v>340</v>
      </c>
      <c r="G49" s="203" t="s">
        <v>358</v>
      </c>
      <c r="H49" s="646">
        <v>5.67690076709032</v>
      </c>
      <c r="I49" s="646">
        <v>7.0872095557735504</v>
      </c>
      <c r="J49" s="646">
        <v>2.96955868716966</v>
      </c>
      <c r="K49" s="646">
        <v>1.7399096231422899</v>
      </c>
      <c r="L49" s="646">
        <v>0.717442372459419</v>
      </c>
      <c r="M49" s="646"/>
      <c r="N49" s="646"/>
      <c r="O49" s="646"/>
      <c r="P49" s="646"/>
      <c r="Q49" s="646"/>
      <c r="R49" s="646"/>
      <c r="S49" s="646"/>
      <c r="T49" s="646"/>
      <c r="U49" s="646"/>
      <c r="V49" s="646"/>
      <c r="W49" s="646"/>
      <c r="X49" s="646"/>
      <c r="Y49" s="646"/>
      <c r="Z49" s="646"/>
      <c r="AA49" s="646"/>
      <c r="AB49" s="646"/>
      <c r="AC49" s="646"/>
      <c r="AD49" s="646"/>
      <c r="AE49" s="646"/>
      <c r="AF49" s="646"/>
      <c r="AG49" s="646"/>
      <c r="AH49" s="646"/>
      <c r="AI49" s="646"/>
      <c r="AJ49" s="646"/>
      <c r="AK49" s="646"/>
      <c r="AL49" s="646"/>
      <c r="AM49" s="646"/>
      <c r="AN49" s="646"/>
    </row>
    <row r="50" spans="2:40" x14ac:dyDescent="0.2">
      <c r="B50" s="248">
        <f t="shared" si="3"/>
        <v>19.847572414646688</v>
      </c>
      <c r="C50" s="200">
        <f t="shared" ref="C50:D50" si="18">C21</f>
        <v>1.3750000000000004</v>
      </c>
      <c r="D50" s="200">
        <f t="shared" si="18"/>
        <v>1.4166666666666672</v>
      </c>
      <c r="E50" s="201">
        <v>16</v>
      </c>
      <c r="F50" s="202" t="s">
        <v>340</v>
      </c>
      <c r="G50" s="203" t="s">
        <v>358</v>
      </c>
      <c r="H50" s="646">
        <v>5.7785410575422604</v>
      </c>
      <c r="I50" s="646">
        <v>8.0697490520302608</v>
      </c>
      <c r="J50" s="646">
        <v>3.4846338959706</v>
      </c>
      <c r="K50" s="646">
        <v>1.81851876667252</v>
      </c>
      <c r="L50" s="646">
        <v>0.69612964243104902</v>
      </c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46"/>
      <c r="AB50" s="646"/>
      <c r="AC50" s="646"/>
      <c r="AD50" s="646"/>
      <c r="AE50" s="646"/>
      <c r="AF50" s="646"/>
      <c r="AG50" s="646"/>
      <c r="AH50" s="646"/>
      <c r="AI50" s="646"/>
      <c r="AJ50" s="646"/>
      <c r="AK50" s="646"/>
      <c r="AL50" s="646"/>
      <c r="AM50" s="646"/>
      <c r="AN50" s="646"/>
    </row>
    <row r="51" spans="2:40" x14ac:dyDescent="0.2">
      <c r="B51" s="248">
        <f t="shared" si="3"/>
        <v>21.348646893547741</v>
      </c>
      <c r="C51" s="200">
        <f t="shared" ref="C51:D51" si="19">C22</f>
        <v>1.4166666666666672</v>
      </c>
      <c r="D51" s="200">
        <f t="shared" si="19"/>
        <v>1.4583333333333339</v>
      </c>
      <c r="E51" s="201">
        <v>17</v>
      </c>
      <c r="F51" s="202" t="s">
        <v>340</v>
      </c>
      <c r="G51" s="203" t="s">
        <v>358</v>
      </c>
      <c r="H51" s="646">
        <v>6.1533052799010202</v>
      </c>
      <c r="I51" s="646">
        <v>8.6472309210369396</v>
      </c>
      <c r="J51" s="646">
        <v>3.88582045290579</v>
      </c>
      <c r="K51" s="646">
        <v>1.977381181872</v>
      </c>
      <c r="L51" s="646">
        <v>0.68490905783199196</v>
      </c>
      <c r="M51" s="646"/>
      <c r="N51" s="646"/>
      <c r="O51" s="646"/>
      <c r="P51" s="646"/>
      <c r="Q51" s="646"/>
      <c r="R51" s="646"/>
      <c r="S51" s="646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646"/>
      <c r="AG51" s="646"/>
      <c r="AH51" s="646"/>
      <c r="AI51" s="646"/>
      <c r="AJ51" s="646"/>
      <c r="AK51" s="646"/>
      <c r="AL51" s="646"/>
      <c r="AM51" s="646"/>
      <c r="AN51" s="646"/>
    </row>
    <row r="52" spans="2:40" x14ac:dyDescent="0.2">
      <c r="B52" s="248">
        <f t="shared" si="3"/>
        <v>22.032466239055584</v>
      </c>
      <c r="C52" s="200">
        <f t="shared" ref="C52:D52" si="20">C23</f>
        <v>1.4583333333333339</v>
      </c>
      <c r="D52" s="200">
        <f t="shared" si="20"/>
        <v>1.5000000000000007</v>
      </c>
      <c r="E52" s="201">
        <v>18</v>
      </c>
      <c r="F52" s="202" t="s">
        <v>340</v>
      </c>
      <c r="G52" s="203" t="s">
        <v>358</v>
      </c>
      <c r="H52" s="646">
        <v>6.47683981698792</v>
      </c>
      <c r="I52" s="646">
        <v>8.9424484355457405</v>
      </c>
      <c r="J52" s="646">
        <v>3.8072833156861199</v>
      </c>
      <c r="K52" s="646">
        <v>2.1410588635594401</v>
      </c>
      <c r="L52" s="646">
        <v>0.66483580727636105</v>
      </c>
      <c r="M52" s="646"/>
      <c r="N52" s="646"/>
      <c r="O52" s="646"/>
      <c r="P52" s="646"/>
      <c r="Q52" s="646"/>
      <c r="R52" s="646"/>
      <c r="S52" s="646"/>
      <c r="T52" s="646"/>
      <c r="U52" s="646"/>
      <c r="V52" s="646"/>
      <c r="W52" s="646"/>
      <c r="X52" s="646"/>
      <c r="Y52" s="646"/>
      <c r="Z52" s="646"/>
      <c r="AA52" s="646"/>
      <c r="AB52" s="646"/>
      <c r="AC52" s="646"/>
      <c r="AD52" s="646"/>
      <c r="AE52" s="646"/>
      <c r="AF52" s="646"/>
      <c r="AG52" s="646"/>
      <c r="AH52" s="646"/>
      <c r="AI52" s="646"/>
      <c r="AJ52" s="646"/>
      <c r="AK52" s="646"/>
      <c r="AL52" s="646"/>
      <c r="AM52" s="646"/>
      <c r="AN52" s="646"/>
    </row>
    <row r="53" spans="2:40" x14ac:dyDescent="0.2">
      <c r="B53" s="248">
        <f t="shared" si="3"/>
        <v>20.359095722180303</v>
      </c>
      <c r="C53" s="200">
        <f t="shared" ref="C53:D53" si="21">C24</f>
        <v>1.5000000000000007</v>
      </c>
      <c r="D53" s="200">
        <f t="shared" si="21"/>
        <v>1.5416666666666674</v>
      </c>
      <c r="E53" s="201">
        <v>19</v>
      </c>
      <c r="F53" s="202" t="s">
        <v>340</v>
      </c>
      <c r="G53" s="203" t="s">
        <v>358</v>
      </c>
      <c r="H53" s="646">
        <v>6.4469753252468696</v>
      </c>
      <c r="I53" s="646">
        <v>8.0939856679012596</v>
      </c>
      <c r="J53" s="646">
        <v>3.1025277032845899</v>
      </c>
      <c r="K53" s="646">
        <v>2.04631175631572</v>
      </c>
      <c r="L53" s="646">
        <v>0.66929526943186302</v>
      </c>
      <c r="M53" s="646"/>
      <c r="N53" s="646"/>
      <c r="O53" s="646"/>
      <c r="P53" s="646"/>
      <c r="Q53" s="646"/>
      <c r="R53" s="646"/>
      <c r="S53" s="646"/>
      <c r="T53" s="646"/>
      <c r="U53" s="646"/>
      <c r="V53" s="646"/>
      <c r="W53" s="646"/>
      <c r="X53" s="646"/>
      <c r="Y53" s="646"/>
      <c r="Z53" s="646"/>
      <c r="AA53" s="646"/>
      <c r="AB53" s="646"/>
      <c r="AC53" s="646"/>
      <c r="AD53" s="646"/>
      <c r="AE53" s="646"/>
      <c r="AF53" s="646"/>
      <c r="AG53" s="646"/>
      <c r="AH53" s="646"/>
      <c r="AI53" s="646"/>
      <c r="AJ53" s="646"/>
      <c r="AK53" s="646"/>
      <c r="AL53" s="646"/>
      <c r="AM53" s="646"/>
      <c r="AN53" s="646"/>
    </row>
    <row r="54" spans="2:40" x14ac:dyDescent="0.2">
      <c r="B54" s="248">
        <f t="shared" si="3"/>
        <v>22.311029007274797</v>
      </c>
      <c r="C54" s="200">
        <f t="shared" ref="C54:D54" si="22">C25</f>
        <v>1.5416666666666674</v>
      </c>
      <c r="D54" s="200">
        <f t="shared" si="22"/>
        <v>1.5833333333333341</v>
      </c>
      <c r="E54" s="201">
        <v>20</v>
      </c>
      <c r="F54" s="202" t="s">
        <v>340</v>
      </c>
      <c r="G54" s="203" t="s">
        <v>358</v>
      </c>
      <c r="H54" s="646">
        <v>5.7702267285277102</v>
      </c>
      <c r="I54" s="646">
        <v>9.7860211760519906</v>
      </c>
      <c r="J54" s="646">
        <v>3.6996398473835002</v>
      </c>
      <c r="K54" s="646">
        <v>2.3871216014391998</v>
      </c>
      <c r="L54" s="646">
        <v>0.66801965387239604</v>
      </c>
      <c r="M54" s="646"/>
      <c r="N54" s="646"/>
      <c r="O54" s="646"/>
      <c r="P54" s="646"/>
      <c r="Q54" s="646"/>
      <c r="R54" s="646"/>
      <c r="S54" s="646"/>
      <c r="T54" s="646"/>
      <c r="U54" s="646"/>
      <c r="V54" s="646"/>
      <c r="W54" s="646"/>
      <c r="X54" s="646"/>
      <c r="Y54" s="646"/>
      <c r="Z54" s="646"/>
      <c r="AA54" s="646"/>
      <c r="AB54" s="646"/>
      <c r="AC54" s="646"/>
      <c r="AD54" s="646"/>
      <c r="AE54" s="646"/>
      <c r="AF54" s="646"/>
      <c r="AG54" s="646"/>
      <c r="AH54" s="646"/>
      <c r="AI54" s="646"/>
      <c r="AJ54" s="646"/>
      <c r="AK54" s="646"/>
      <c r="AL54" s="646"/>
      <c r="AM54" s="646"/>
      <c r="AN54" s="646"/>
    </row>
    <row r="55" spans="2:40" x14ac:dyDescent="0.2">
      <c r="B55" s="248">
        <f t="shared" si="3"/>
        <v>25.549341550329036</v>
      </c>
      <c r="C55" s="200">
        <f t="shared" ref="C55:D55" si="23">C26</f>
        <v>1.5833333333333341</v>
      </c>
      <c r="D55" s="200">
        <f t="shared" si="23"/>
        <v>1.6250000000000009</v>
      </c>
      <c r="E55" s="201">
        <v>21</v>
      </c>
      <c r="F55" s="202" t="s">
        <v>340</v>
      </c>
      <c r="G55" s="203" t="s">
        <v>358</v>
      </c>
      <c r="H55" s="646">
        <v>6.79441016728323</v>
      </c>
      <c r="I55" s="646">
        <v>11.0022932839553</v>
      </c>
      <c r="J55" s="646">
        <v>4.3704837735834099</v>
      </c>
      <c r="K55" s="646">
        <v>2.7121159107519301</v>
      </c>
      <c r="L55" s="646">
        <v>0.67003841475517001</v>
      </c>
      <c r="M55" s="646"/>
      <c r="N55" s="646"/>
      <c r="O55" s="646"/>
      <c r="P55" s="646"/>
      <c r="Q55" s="646"/>
      <c r="R55" s="646"/>
      <c r="S55" s="646"/>
      <c r="T55" s="646"/>
      <c r="U55" s="646"/>
      <c r="V55" s="646"/>
      <c r="W55" s="646"/>
      <c r="X55" s="646"/>
      <c r="Y55" s="646"/>
      <c r="Z55" s="646"/>
      <c r="AA55" s="646"/>
      <c r="AB55" s="646"/>
      <c r="AC55" s="646"/>
      <c r="AD55" s="646"/>
      <c r="AE55" s="646"/>
      <c r="AF55" s="646"/>
      <c r="AG55" s="646"/>
      <c r="AH55" s="646"/>
      <c r="AI55" s="646"/>
      <c r="AJ55" s="646"/>
      <c r="AK55" s="646"/>
      <c r="AL55" s="646"/>
      <c r="AM55" s="646"/>
      <c r="AN55" s="646"/>
    </row>
    <row r="56" spans="2:40" x14ac:dyDescent="0.2">
      <c r="B56" s="248">
        <f t="shared" si="3"/>
        <v>25.704975095952715</v>
      </c>
      <c r="C56" s="200">
        <f t="shared" ref="C56:D56" si="24">C27</f>
        <v>1.6250000000000009</v>
      </c>
      <c r="D56" s="200">
        <f t="shared" si="24"/>
        <v>1.6666666666666676</v>
      </c>
      <c r="E56" s="201">
        <v>22</v>
      </c>
      <c r="F56" s="202" t="s">
        <v>340</v>
      </c>
      <c r="G56" s="203" t="s">
        <v>358</v>
      </c>
      <c r="H56" s="646">
        <v>7.0224157444719602</v>
      </c>
      <c r="I56" s="646">
        <v>10.969852734214401</v>
      </c>
      <c r="J56" s="646">
        <v>4.3965210895783997</v>
      </c>
      <c r="K56" s="646">
        <v>2.6526589463601402</v>
      </c>
      <c r="L56" s="646">
        <v>0.66352658132781095</v>
      </c>
      <c r="M56" s="646"/>
      <c r="N56" s="646"/>
      <c r="O56" s="646"/>
      <c r="P56" s="646"/>
      <c r="Q56" s="646"/>
      <c r="R56" s="646"/>
      <c r="S56" s="646"/>
      <c r="T56" s="646"/>
      <c r="U56" s="646"/>
      <c r="V56" s="646"/>
      <c r="W56" s="646"/>
      <c r="X56" s="646"/>
      <c r="Y56" s="646"/>
      <c r="Z56" s="646"/>
      <c r="AA56" s="646"/>
      <c r="AB56" s="646"/>
      <c r="AC56" s="646"/>
      <c r="AD56" s="646"/>
      <c r="AE56" s="646"/>
      <c r="AF56" s="646"/>
      <c r="AG56" s="646"/>
      <c r="AH56" s="646"/>
      <c r="AI56" s="646"/>
      <c r="AJ56" s="646"/>
      <c r="AK56" s="646"/>
      <c r="AL56" s="646"/>
      <c r="AM56" s="646"/>
      <c r="AN56" s="646"/>
    </row>
    <row r="57" spans="2:40" x14ac:dyDescent="0.2">
      <c r="B57" s="248">
        <f t="shared" si="3"/>
        <v>24.927097919443401</v>
      </c>
      <c r="C57" s="200">
        <f t="shared" ref="C57:D57" si="25">C28</f>
        <v>1.6666666666666676</v>
      </c>
      <c r="D57" s="200">
        <f t="shared" si="25"/>
        <v>1.7083333333333344</v>
      </c>
      <c r="E57" s="201">
        <v>23</v>
      </c>
      <c r="F57" s="202" t="s">
        <v>340</v>
      </c>
      <c r="G57" s="203" t="s">
        <v>358</v>
      </c>
      <c r="H57" s="646">
        <v>6.6955459891443603</v>
      </c>
      <c r="I57" s="646">
        <v>10.9842192852621</v>
      </c>
      <c r="J57" s="646">
        <v>4.3898139638918598</v>
      </c>
      <c r="K57" s="646">
        <v>2.1982881732627999</v>
      </c>
      <c r="L57" s="646">
        <v>0.65923050788228199</v>
      </c>
      <c r="M57" s="646"/>
      <c r="N57" s="646"/>
      <c r="O57" s="646"/>
      <c r="P57" s="646"/>
      <c r="Q57" s="646"/>
      <c r="R57" s="646"/>
      <c r="S57" s="646"/>
      <c r="T57" s="646"/>
      <c r="U57" s="646"/>
      <c r="V57" s="646"/>
      <c r="W57" s="646"/>
      <c r="X57" s="646"/>
      <c r="Y57" s="646"/>
      <c r="Z57" s="646"/>
      <c r="AA57" s="646"/>
      <c r="AB57" s="646"/>
      <c r="AC57" s="646"/>
      <c r="AD57" s="646"/>
      <c r="AE57" s="646"/>
      <c r="AF57" s="646"/>
      <c r="AG57" s="646"/>
      <c r="AH57" s="646"/>
      <c r="AI57" s="646"/>
      <c r="AJ57" s="646"/>
      <c r="AK57" s="646"/>
      <c r="AL57" s="646"/>
      <c r="AM57" s="646"/>
      <c r="AN57" s="646"/>
    </row>
    <row r="58" spans="2:40" x14ac:dyDescent="0.2">
      <c r="B58" s="248">
        <f t="shared" si="3"/>
        <v>24.05404514883411</v>
      </c>
      <c r="C58" s="200">
        <f t="shared" ref="C58:D58" si="26">C29</f>
        <v>1.7083333333333344</v>
      </c>
      <c r="D58" s="200">
        <f t="shared" si="26"/>
        <v>1.7500000000000011</v>
      </c>
      <c r="E58" s="201">
        <v>24</v>
      </c>
      <c r="F58" s="202" t="s">
        <v>361</v>
      </c>
      <c r="G58" s="203" t="s">
        <v>358</v>
      </c>
      <c r="H58" s="646">
        <v>7.4419268087797299</v>
      </c>
      <c r="I58" s="646">
        <v>10.1171574077736</v>
      </c>
      <c r="J58" s="646">
        <v>3.9010039049652701</v>
      </c>
      <c r="K58" s="646">
        <v>1.925459888974</v>
      </c>
      <c r="L58" s="646">
        <v>0.66849713834150903</v>
      </c>
      <c r="M58" s="646"/>
      <c r="N58" s="646"/>
      <c r="O58" s="646"/>
      <c r="P58" s="646"/>
      <c r="Q58" s="646"/>
      <c r="R58" s="646"/>
      <c r="S58" s="646"/>
      <c r="T58" s="646"/>
      <c r="U58" s="646"/>
      <c r="V58" s="646"/>
      <c r="W58" s="646"/>
      <c r="X58" s="646"/>
      <c r="Y58" s="646"/>
      <c r="Z58" s="646"/>
      <c r="AA58" s="646"/>
      <c r="AB58" s="646"/>
      <c r="AC58" s="646"/>
      <c r="AD58" s="646"/>
      <c r="AE58" s="646"/>
      <c r="AF58" s="646"/>
      <c r="AG58" s="646"/>
      <c r="AH58" s="646"/>
      <c r="AI58" s="646"/>
      <c r="AJ58" s="646"/>
      <c r="AK58" s="646"/>
      <c r="AL58" s="646"/>
      <c r="AM58" s="646"/>
      <c r="AN58" s="646"/>
    </row>
    <row r="60" spans="2:40" ht="12" customHeight="1" x14ac:dyDescent="0.2">
      <c r="C60" s="814" t="s">
        <v>8</v>
      </c>
      <c r="D60" s="815"/>
      <c r="E60" s="805" t="s">
        <v>48</v>
      </c>
      <c r="F60" s="806"/>
      <c r="G60" s="807"/>
      <c r="H60" s="196" t="s">
        <v>3607</v>
      </c>
      <c r="I60" s="247"/>
      <c r="J60" s="196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</row>
    <row r="61" spans="2:40" x14ac:dyDescent="0.2">
      <c r="C61" s="816"/>
      <c r="D61" s="817"/>
      <c r="E61" s="808"/>
      <c r="F61" s="809"/>
      <c r="G61" s="810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</row>
    <row r="62" spans="2:40" x14ac:dyDescent="0.2">
      <c r="C62" s="818"/>
      <c r="D62" s="819"/>
      <c r="E62" s="811"/>
      <c r="F62" s="812"/>
      <c r="G62" s="813"/>
      <c r="H62" s="196" t="s">
        <v>389</v>
      </c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</row>
    <row r="63" spans="2:40" x14ac:dyDescent="0.2">
      <c r="C63" s="803" t="s">
        <v>47</v>
      </c>
      <c r="D63" s="804"/>
      <c r="E63" s="244"/>
      <c r="F63" s="245" t="s">
        <v>360</v>
      </c>
      <c r="G63" s="246"/>
      <c r="H63" s="198" t="s">
        <v>343</v>
      </c>
      <c r="I63" s="198" t="s">
        <v>343</v>
      </c>
      <c r="J63" s="198" t="s">
        <v>343</v>
      </c>
      <c r="K63" s="198" t="s">
        <v>343</v>
      </c>
      <c r="L63" s="198" t="s">
        <v>343</v>
      </c>
      <c r="M63" s="198" t="s">
        <v>343</v>
      </c>
      <c r="N63" s="198" t="s">
        <v>343</v>
      </c>
      <c r="O63" s="198" t="s">
        <v>343</v>
      </c>
      <c r="P63" s="198" t="s">
        <v>343</v>
      </c>
      <c r="Q63" s="198" t="s">
        <v>343</v>
      </c>
      <c r="R63" s="198" t="s">
        <v>343</v>
      </c>
      <c r="S63" s="198" t="s">
        <v>343</v>
      </c>
      <c r="T63" s="198" t="s">
        <v>343</v>
      </c>
      <c r="U63" s="198" t="s">
        <v>343</v>
      </c>
      <c r="V63" s="198" t="s">
        <v>343</v>
      </c>
      <c r="W63" s="198" t="s">
        <v>343</v>
      </c>
      <c r="X63" s="198" t="s">
        <v>343</v>
      </c>
      <c r="Y63" s="198" t="s">
        <v>343</v>
      </c>
      <c r="Z63" s="198" t="s">
        <v>343</v>
      </c>
      <c r="AA63" s="198" t="s">
        <v>343</v>
      </c>
      <c r="AB63" s="198" t="s">
        <v>343</v>
      </c>
      <c r="AC63" s="198" t="s">
        <v>343</v>
      </c>
      <c r="AD63" s="198" t="s">
        <v>343</v>
      </c>
      <c r="AE63" s="198" t="s">
        <v>343</v>
      </c>
      <c r="AF63" s="198" t="s">
        <v>343</v>
      </c>
      <c r="AG63" s="198" t="s">
        <v>343</v>
      </c>
      <c r="AH63" s="198" t="s">
        <v>343</v>
      </c>
      <c r="AI63" s="198" t="s">
        <v>343</v>
      </c>
      <c r="AJ63" s="198" t="s">
        <v>343</v>
      </c>
      <c r="AK63" s="198" t="s">
        <v>343</v>
      </c>
      <c r="AL63" s="198" t="s">
        <v>343</v>
      </c>
      <c r="AM63" s="198" t="s">
        <v>343</v>
      </c>
      <c r="AN63" s="198" t="s">
        <v>343</v>
      </c>
    </row>
    <row r="64" spans="2:40" x14ac:dyDescent="0.2">
      <c r="B64" s="248">
        <f>SUM(H64:AN64)</f>
        <v>9.3231904480275904</v>
      </c>
      <c r="C64" s="200">
        <f>C35</f>
        <v>0.75</v>
      </c>
      <c r="D64" s="200">
        <f>D35</f>
        <v>0.79166666666666663</v>
      </c>
      <c r="E64" s="201">
        <v>1</v>
      </c>
      <c r="F64" s="202" t="s">
        <v>339</v>
      </c>
      <c r="G64" s="203" t="s">
        <v>356</v>
      </c>
      <c r="H64" s="646">
        <v>9.3231904480275904</v>
      </c>
      <c r="I64" s="646"/>
      <c r="J64" s="646"/>
      <c r="K64" s="646"/>
      <c r="L64" s="646"/>
      <c r="M64" s="646"/>
      <c r="N64" s="646"/>
      <c r="O64" s="646"/>
      <c r="P64" s="646"/>
      <c r="Q64" s="646"/>
      <c r="R64" s="646"/>
      <c r="S64" s="646"/>
      <c r="T64" s="646"/>
      <c r="U64" s="646"/>
      <c r="V64" s="646"/>
      <c r="W64" s="646"/>
      <c r="X64" s="646"/>
      <c r="Y64" s="646"/>
      <c r="Z64" s="646"/>
      <c r="AA64" s="646"/>
      <c r="AB64" s="646"/>
      <c r="AC64" s="646"/>
      <c r="AD64" s="646"/>
      <c r="AE64" s="646"/>
      <c r="AF64" s="646"/>
      <c r="AG64" s="646"/>
      <c r="AH64" s="646"/>
      <c r="AI64" s="646"/>
      <c r="AJ64" s="646"/>
      <c r="AK64" s="646"/>
      <c r="AL64" s="646"/>
      <c r="AM64" s="646"/>
      <c r="AN64" s="646"/>
    </row>
    <row r="65" spans="2:40" x14ac:dyDescent="0.2">
      <c r="B65" s="248">
        <f t="shared" ref="B65:B87" si="27">SUM(H65:AN65)</f>
        <v>10.108276536101</v>
      </c>
      <c r="C65" s="200">
        <f t="shared" ref="C65:D65" si="28">C36</f>
        <v>0.79166666666666663</v>
      </c>
      <c r="D65" s="200">
        <f t="shared" si="28"/>
        <v>0.83333333333333326</v>
      </c>
      <c r="E65" s="201">
        <v>2</v>
      </c>
      <c r="F65" s="202" t="s">
        <v>339</v>
      </c>
      <c r="G65" s="203" t="s">
        <v>356</v>
      </c>
      <c r="H65" s="646">
        <v>10.108276536101</v>
      </c>
      <c r="I65" s="646"/>
      <c r="J65" s="646"/>
      <c r="K65" s="646"/>
      <c r="L65" s="646"/>
      <c r="M65" s="646"/>
      <c r="N65" s="646"/>
      <c r="O65" s="646"/>
      <c r="P65" s="646"/>
      <c r="Q65" s="646"/>
      <c r="R65" s="646"/>
      <c r="S65" s="646"/>
      <c r="T65" s="646"/>
      <c r="U65" s="646"/>
      <c r="V65" s="646"/>
      <c r="W65" s="646"/>
      <c r="X65" s="646"/>
      <c r="Y65" s="646"/>
      <c r="Z65" s="646"/>
      <c r="AA65" s="646"/>
      <c r="AB65" s="646"/>
      <c r="AC65" s="646"/>
      <c r="AD65" s="646"/>
      <c r="AE65" s="646"/>
      <c r="AF65" s="646"/>
      <c r="AG65" s="646"/>
      <c r="AH65" s="646"/>
      <c r="AI65" s="646"/>
      <c r="AJ65" s="646"/>
      <c r="AK65" s="646"/>
      <c r="AL65" s="646"/>
      <c r="AM65" s="646"/>
      <c r="AN65" s="646"/>
    </row>
    <row r="66" spans="2:40" x14ac:dyDescent="0.2">
      <c r="B66" s="248">
        <f t="shared" si="27"/>
        <v>8.4189195677056592</v>
      </c>
      <c r="C66" s="200">
        <f t="shared" ref="C66:D66" si="29">C37</f>
        <v>0.83333333333333326</v>
      </c>
      <c r="D66" s="200">
        <f t="shared" si="29"/>
        <v>0.87499999999999989</v>
      </c>
      <c r="E66" s="201">
        <v>3</v>
      </c>
      <c r="F66" s="202" t="s">
        <v>339</v>
      </c>
      <c r="G66" s="203" t="s">
        <v>356</v>
      </c>
      <c r="H66" s="646">
        <v>8.4189195677056592</v>
      </c>
      <c r="I66" s="646"/>
      <c r="J66" s="646"/>
      <c r="K66" s="646"/>
      <c r="L66" s="646"/>
      <c r="M66" s="646"/>
      <c r="N66" s="646"/>
      <c r="O66" s="646"/>
      <c r="P66" s="646"/>
      <c r="Q66" s="646"/>
      <c r="R66" s="646"/>
      <c r="S66" s="646"/>
      <c r="T66" s="646"/>
      <c r="U66" s="646"/>
      <c r="V66" s="646"/>
      <c r="W66" s="646"/>
      <c r="X66" s="646"/>
      <c r="Y66" s="646"/>
      <c r="Z66" s="646"/>
      <c r="AA66" s="646"/>
      <c r="AB66" s="646"/>
      <c r="AC66" s="646"/>
      <c r="AD66" s="646"/>
      <c r="AE66" s="646"/>
      <c r="AF66" s="646"/>
      <c r="AG66" s="646"/>
      <c r="AH66" s="646"/>
      <c r="AI66" s="646"/>
      <c r="AJ66" s="646"/>
      <c r="AK66" s="646"/>
      <c r="AL66" s="646"/>
      <c r="AM66" s="646"/>
      <c r="AN66" s="646"/>
    </row>
    <row r="67" spans="2:40" x14ac:dyDescent="0.2">
      <c r="B67" s="248">
        <f t="shared" si="27"/>
        <v>6.7576239037896499</v>
      </c>
      <c r="C67" s="200">
        <f t="shared" ref="C67:D67" si="30">C38</f>
        <v>0.87499999999999989</v>
      </c>
      <c r="D67" s="200">
        <f t="shared" si="30"/>
        <v>0.91666666666666652</v>
      </c>
      <c r="E67" s="201">
        <v>4</v>
      </c>
      <c r="F67" s="202" t="s">
        <v>361</v>
      </c>
      <c r="G67" s="203" t="s">
        <v>358</v>
      </c>
      <c r="H67" s="646">
        <v>6.7576239037896499</v>
      </c>
      <c r="I67" s="646"/>
      <c r="J67" s="646"/>
      <c r="K67" s="646"/>
      <c r="L67" s="646"/>
      <c r="M67" s="646"/>
      <c r="N67" s="646"/>
      <c r="O67" s="646"/>
      <c r="P67" s="646"/>
      <c r="Q67" s="646"/>
      <c r="R67" s="646"/>
      <c r="S67" s="646"/>
      <c r="T67" s="646"/>
      <c r="U67" s="646"/>
      <c r="V67" s="646"/>
      <c r="W67" s="646"/>
      <c r="X67" s="646"/>
      <c r="Y67" s="646"/>
      <c r="Z67" s="646"/>
      <c r="AA67" s="646"/>
      <c r="AB67" s="646"/>
      <c r="AC67" s="646"/>
      <c r="AD67" s="646"/>
      <c r="AE67" s="646"/>
      <c r="AF67" s="646"/>
      <c r="AG67" s="646"/>
      <c r="AH67" s="646"/>
      <c r="AI67" s="646"/>
      <c r="AJ67" s="646"/>
      <c r="AK67" s="646"/>
      <c r="AL67" s="646"/>
      <c r="AM67" s="646"/>
      <c r="AN67" s="646"/>
    </row>
    <row r="68" spans="2:40" x14ac:dyDescent="0.2">
      <c r="B68" s="248">
        <f t="shared" si="27"/>
        <v>5.6218905972686297</v>
      </c>
      <c r="C68" s="200">
        <f t="shared" ref="C68:D68" si="31">C39</f>
        <v>0.91666666666666652</v>
      </c>
      <c r="D68" s="200">
        <f t="shared" si="31"/>
        <v>0.95833333333333315</v>
      </c>
      <c r="E68" s="201">
        <v>5</v>
      </c>
      <c r="F68" s="202" t="s">
        <v>340</v>
      </c>
      <c r="G68" s="203" t="s">
        <v>358</v>
      </c>
      <c r="H68" s="646">
        <v>5.6218905972686297</v>
      </c>
      <c r="I68" s="646"/>
      <c r="J68" s="646"/>
      <c r="K68" s="646"/>
      <c r="L68" s="646"/>
      <c r="M68" s="646"/>
      <c r="N68" s="646"/>
      <c r="O68" s="646"/>
      <c r="P68" s="646"/>
      <c r="Q68" s="646"/>
      <c r="R68" s="646"/>
      <c r="S68" s="646"/>
      <c r="T68" s="646"/>
      <c r="U68" s="646"/>
      <c r="V68" s="646"/>
      <c r="W68" s="646"/>
      <c r="X68" s="646"/>
      <c r="Y68" s="646"/>
      <c r="Z68" s="646"/>
      <c r="AA68" s="646"/>
      <c r="AB68" s="646"/>
      <c r="AC68" s="646"/>
      <c r="AD68" s="646"/>
      <c r="AE68" s="646"/>
      <c r="AF68" s="646"/>
      <c r="AG68" s="646"/>
      <c r="AH68" s="646"/>
      <c r="AI68" s="646"/>
      <c r="AJ68" s="646"/>
      <c r="AK68" s="646"/>
      <c r="AL68" s="646"/>
      <c r="AM68" s="646"/>
      <c r="AN68" s="646"/>
    </row>
    <row r="69" spans="2:40" x14ac:dyDescent="0.2">
      <c r="B69" s="248">
        <f t="shared" si="27"/>
        <v>4.3464421692057398</v>
      </c>
      <c r="C69" s="200">
        <f t="shared" ref="C69:D69" si="32">C40</f>
        <v>0.95833333333333315</v>
      </c>
      <c r="D69" s="200">
        <f t="shared" si="32"/>
        <v>0.99999999999999978</v>
      </c>
      <c r="E69" s="201">
        <v>6</v>
      </c>
      <c r="F69" s="202" t="s">
        <v>340</v>
      </c>
      <c r="G69" s="203" t="s">
        <v>358</v>
      </c>
      <c r="H69" s="646">
        <v>4.3464421692057398</v>
      </c>
      <c r="I69" s="646"/>
      <c r="J69" s="646"/>
      <c r="K69" s="646"/>
      <c r="L69" s="646"/>
      <c r="M69" s="646"/>
      <c r="N69" s="646"/>
      <c r="O69" s="646"/>
      <c r="P69" s="646"/>
      <c r="Q69" s="646"/>
      <c r="R69" s="646"/>
      <c r="S69" s="646"/>
      <c r="T69" s="646"/>
      <c r="U69" s="646"/>
      <c r="V69" s="646"/>
      <c r="W69" s="646"/>
      <c r="X69" s="646"/>
      <c r="Y69" s="646"/>
      <c r="Z69" s="646"/>
      <c r="AA69" s="646"/>
      <c r="AB69" s="646"/>
      <c r="AC69" s="646"/>
      <c r="AD69" s="646"/>
      <c r="AE69" s="646"/>
      <c r="AF69" s="646"/>
      <c r="AG69" s="646"/>
      <c r="AH69" s="646"/>
      <c r="AI69" s="646"/>
      <c r="AJ69" s="646"/>
      <c r="AK69" s="646"/>
      <c r="AL69" s="646"/>
      <c r="AM69" s="646"/>
      <c r="AN69" s="646"/>
    </row>
    <row r="70" spans="2:40" x14ac:dyDescent="0.2">
      <c r="B70" s="248">
        <f t="shared" si="27"/>
        <v>3.46786135851585</v>
      </c>
      <c r="C70" s="200">
        <f t="shared" ref="C70:D70" si="33">C41</f>
        <v>0.99999999999999978</v>
      </c>
      <c r="D70" s="200">
        <f t="shared" si="33"/>
        <v>1.0416666666666665</v>
      </c>
      <c r="E70" s="201">
        <v>7</v>
      </c>
      <c r="F70" s="202" t="s">
        <v>340</v>
      </c>
      <c r="G70" s="203" t="s">
        <v>358</v>
      </c>
      <c r="H70" s="646">
        <v>3.46786135851585</v>
      </c>
      <c r="I70" s="646"/>
      <c r="J70" s="646"/>
      <c r="K70" s="646"/>
      <c r="L70" s="646"/>
      <c r="M70" s="646"/>
      <c r="N70" s="646"/>
      <c r="O70" s="646"/>
      <c r="P70" s="646"/>
      <c r="Q70" s="646"/>
      <c r="R70" s="646"/>
      <c r="S70" s="646"/>
      <c r="T70" s="646"/>
      <c r="U70" s="646"/>
      <c r="V70" s="646"/>
      <c r="W70" s="646"/>
      <c r="X70" s="646"/>
      <c r="Y70" s="646"/>
      <c r="Z70" s="646"/>
      <c r="AA70" s="646"/>
      <c r="AB70" s="646"/>
      <c r="AC70" s="646"/>
      <c r="AD70" s="646"/>
      <c r="AE70" s="646"/>
      <c r="AF70" s="646"/>
      <c r="AG70" s="646"/>
      <c r="AH70" s="646"/>
      <c r="AI70" s="646"/>
      <c r="AJ70" s="646"/>
      <c r="AK70" s="646"/>
      <c r="AL70" s="646"/>
      <c r="AM70" s="646"/>
      <c r="AN70" s="646"/>
    </row>
    <row r="71" spans="2:40" x14ac:dyDescent="0.2">
      <c r="B71" s="248">
        <f t="shared" si="27"/>
        <v>2.7769936012721002</v>
      </c>
      <c r="C71" s="200">
        <f t="shared" ref="C71:D71" si="34">C42</f>
        <v>1.0416666666666665</v>
      </c>
      <c r="D71" s="200">
        <f t="shared" si="34"/>
        <v>1.0833333333333333</v>
      </c>
      <c r="E71" s="201">
        <v>8</v>
      </c>
      <c r="F71" s="202" t="s">
        <v>340</v>
      </c>
      <c r="G71" s="203" t="s">
        <v>358</v>
      </c>
      <c r="H71" s="646">
        <v>2.7769936012721002</v>
      </c>
      <c r="I71" s="646"/>
      <c r="J71" s="646"/>
      <c r="K71" s="646"/>
      <c r="L71" s="646"/>
      <c r="M71" s="646"/>
      <c r="N71" s="646"/>
      <c r="O71" s="646"/>
      <c r="P71" s="646"/>
      <c r="Q71" s="646"/>
      <c r="R71" s="646"/>
      <c r="S71" s="646"/>
      <c r="T71" s="646"/>
      <c r="U71" s="646"/>
      <c r="V71" s="646"/>
      <c r="W71" s="646"/>
      <c r="X71" s="646"/>
      <c r="Y71" s="646"/>
      <c r="Z71" s="646"/>
      <c r="AA71" s="646"/>
      <c r="AB71" s="646"/>
      <c r="AC71" s="646"/>
      <c r="AD71" s="646"/>
      <c r="AE71" s="646"/>
      <c r="AF71" s="646"/>
      <c r="AG71" s="646"/>
      <c r="AH71" s="646"/>
      <c r="AI71" s="646"/>
      <c r="AJ71" s="646"/>
      <c r="AK71" s="646"/>
      <c r="AL71" s="646"/>
      <c r="AM71" s="646"/>
      <c r="AN71" s="646"/>
    </row>
    <row r="72" spans="2:40" x14ac:dyDescent="0.2">
      <c r="B72" s="248">
        <f t="shared" si="27"/>
        <v>2.39781288614043</v>
      </c>
      <c r="C72" s="200">
        <f t="shared" ref="C72:D72" si="35">C43</f>
        <v>1.0833333333333333</v>
      </c>
      <c r="D72" s="200">
        <f t="shared" si="35"/>
        <v>1.125</v>
      </c>
      <c r="E72" s="201">
        <v>9</v>
      </c>
      <c r="F72" s="202" t="s">
        <v>340</v>
      </c>
      <c r="G72" s="203" t="s">
        <v>358</v>
      </c>
      <c r="H72" s="646">
        <v>2.39781288614043</v>
      </c>
      <c r="I72" s="646"/>
      <c r="J72" s="646"/>
      <c r="K72" s="646"/>
      <c r="L72" s="646"/>
      <c r="M72" s="646"/>
      <c r="N72" s="646"/>
      <c r="O72" s="646"/>
      <c r="P72" s="646"/>
      <c r="Q72" s="646"/>
      <c r="R72" s="646"/>
      <c r="S72" s="646"/>
      <c r="T72" s="646"/>
      <c r="U72" s="646"/>
      <c r="V72" s="646"/>
      <c r="W72" s="646"/>
      <c r="X72" s="646"/>
      <c r="Y72" s="646"/>
      <c r="Z72" s="646"/>
      <c r="AA72" s="646"/>
      <c r="AB72" s="646"/>
      <c r="AC72" s="646"/>
      <c r="AD72" s="646"/>
      <c r="AE72" s="646"/>
      <c r="AF72" s="646"/>
      <c r="AG72" s="646"/>
      <c r="AH72" s="646"/>
      <c r="AI72" s="646"/>
      <c r="AJ72" s="646"/>
      <c r="AK72" s="646"/>
      <c r="AL72" s="646"/>
      <c r="AM72" s="646"/>
      <c r="AN72" s="646"/>
    </row>
    <row r="73" spans="2:40" x14ac:dyDescent="0.2">
      <c r="B73" s="248">
        <f t="shared" si="27"/>
        <v>2.1794213674968201</v>
      </c>
      <c r="C73" s="200">
        <f t="shared" ref="C73:D73" si="36">C44</f>
        <v>1.125</v>
      </c>
      <c r="D73" s="200">
        <f t="shared" si="36"/>
        <v>1.1666666666666667</v>
      </c>
      <c r="E73" s="201">
        <v>10</v>
      </c>
      <c r="F73" s="202" t="s">
        <v>340</v>
      </c>
      <c r="G73" s="203" t="s">
        <v>358</v>
      </c>
      <c r="H73" s="646">
        <v>2.1794213674968201</v>
      </c>
      <c r="I73" s="646"/>
      <c r="J73" s="646"/>
      <c r="K73" s="646"/>
      <c r="L73" s="646"/>
      <c r="M73" s="646"/>
      <c r="N73" s="646"/>
      <c r="O73" s="646"/>
      <c r="P73" s="646"/>
      <c r="Q73" s="646"/>
      <c r="R73" s="646"/>
      <c r="S73" s="646"/>
      <c r="T73" s="646"/>
      <c r="U73" s="646"/>
      <c r="V73" s="646"/>
      <c r="W73" s="646"/>
      <c r="X73" s="646"/>
      <c r="Y73" s="646"/>
      <c r="Z73" s="646"/>
      <c r="AA73" s="646"/>
      <c r="AB73" s="646"/>
      <c r="AC73" s="646"/>
      <c r="AD73" s="646"/>
      <c r="AE73" s="646"/>
      <c r="AF73" s="646"/>
      <c r="AG73" s="646"/>
      <c r="AH73" s="646"/>
      <c r="AI73" s="646"/>
      <c r="AJ73" s="646"/>
      <c r="AK73" s="646"/>
      <c r="AL73" s="646"/>
      <c r="AM73" s="646"/>
      <c r="AN73" s="646"/>
    </row>
    <row r="74" spans="2:40" x14ac:dyDescent="0.2">
      <c r="B74" s="248">
        <f t="shared" si="27"/>
        <v>2.18941848424751</v>
      </c>
      <c r="C74" s="200">
        <f t="shared" ref="C74:D74" si="37">C45</f>
        <v>1.1666666666666667</v>
      </c>
      <c r="D74" s="200">
        <f t="shared" si="37"/>
        <v>1.2083333333333335</v>
      </c>
      <c r="E74" s="201">
        <v>11</v>
      </c>
      <c r="F74" s="202" t="s">
        <v>340</v>
      </c>
      <c r="G74" s="203" t="s">
        <v>358</v>
      </c>
      <c r="H74" s="646">
        <v>2.18941848424751</v>
      </c>
      <c r="I74" s="646"/>
      <c r="J74" s="646"/>
      <c r="K74" s="646"/>
      <c r="L74" s="646"/>
      <c r="M74" s="646"/>
      <c r="N74" s="646"/>
      <c r="O74" s="646"/>
      <c r="P74" s="646"/>
      <c r="Q74" s="646"/>
      <c r="R74" s="646"/>
      <c r="S74" s="646"/>
      <c r="T74" s="646"/>
      <c r="U74" s="646"/>
      <c r="V74" s="646"/>
      <c r="W74" s="646"/>
      <c r="X74" s="646"/>
      <c r="Y74" s="646"/>
      <c r="Z74" s="646"/>
      <c r="AA74" s="646"/>
      <c r="AB74" s="646"/>
      <c r="AC74" s="646"/>
      <c r="AD74" s="646"/>
      <c r="AE74" s="646"/>
      <c r="AF74" s="646"/>
      <c r="AG74" s="646"/>
      <c r="AH74" s="646"/>
      <c r="AI74" s="646"/>
      <c r="AJ74" s="646"/>
      <c r="AK74" s="646"/>
      <c r="AL74" s="646"/>
      <c r="AM74" s="646"/>
      <c r="AN74" s="646"/>
    </row>
    <row r="75" spans="2:40" x14ac:dyDescent="0.2">
      <c r="B75" s="248">
        <f t="shared" si="27"/>
        <v>2.3493958064494098</v>
      </c>
      <c r="C75" s="200">
        <f t="shared" ref="C75:D75" si="38">C46</f>
        <v>1.2083333333333335</v>
      </c>
      <c r="D75" s="200">
        <f t="shared" si="38"/>
        <v>1.2500000000000002</v>
      </c>
      <c r="E75" s="201">
        <v>12</v>
      </c>
      <c r="F75" s="202" t="s">
        <v>340</v>
      </c>
      <c r="G75" s="203" t="s">
        <v>358</v>
      </c>
      <c r="H75" s="646">
        <v>2.3493958064494098</v>
      </c>
      <c r="I75" s="646"/>
      <c r="J75" s="646"/>
      <c r="K75" s="646"/>
      <c r="L75" s="646"/>
      <c r="M75" s="646"/>
      <c r="N75" s="646"/>
      <c r="O75" s="646"/>
      <c r="P75" s="646"/>
      <c r="Q75" s="646"/>
      <c r="R75" s="646"/>
      <c r="S75" s="646"/>
      <c r="T75" s="646"/>
      <c r="U75" s="646"/>
      <c r="V75" s="646"/>
      <c r="W75" s="646"/>
      <c r="X75" s="646"/>
      <c r="Y75" s="646"/>
      <c r="Z75" s="646"/>
      <c r="AA75" s="646"/>
      <c r="AB75" s="646"/>
      <c r="AC75" s="646"/>
      <c r="AD75" s="646"/>
      <c r="AE75" s="646"/>
      <c r="AF75" s="646"/>
      <c r="AG75" s="646"/>
      <c r="AH75" s="646"/>
      <c r="AI75" s="646"/>
      <c r="AJ75" s="646"/>
      <c r="AK75" s="646"/>
      <c r="AL75" s="646"/>
      <c r="AM75" s="646"/>
      <c r="AN75" s="646"/>
    </row>
    <row r="76" spans="2:40" x14ac:dyDescent="0.2">
      <c r="B76" s="248">
        <f t="shared" si="27"/>
        <v>3.4390310310819201</v>
      </c>
      <c r="C76" s="200">
        <f t="shared" ref="C76:D76" si="39">C47</f>
        <v>1.2500000000000002</v>
      </c>
      <c r="D76" s="200">
        <f t="shared" si="39"/>
        <v>1.291666666666667</v>
      </c>
      <c r="E76" s="201">
        <v>13</v>
      </c>
      <c r="F76" s="202" t="s">
        <v>340</v>
      </c>
      <c r="G76" s="203" t="s">
        <v>358</v>
      </c>
      <c r="H76" s="646">
        <v>3.4390310310819201</v>
      </c>
      <c r="I76" s="646"/>
      <c r="J76" s="646"/>
      <c r="K76" s="646"/>
      <c r="L76" s="646"/>
      <c r="M76" s="646"/>
      <c r="N76" s="646"/>
      <c r="O76" s="646"/>
      <c r="P76" s="646"/>
      <c r="Q76" s="646"/>
      <c r="R76" s="646"/>
      <c r="S76" s="646"/>
      <c r="T76" s="646"/>
      <c r="U76" s="646"/>
      <c r="V76" s="646"/>
      <c r="W76" s="646"/>
      <c r="X76" s="646"/>
      <c r="Y76" s="646"/>
      <c r="Z76" s="646"/>
      <c r="AA76" s="646"/>
      <c r="AB76" s="646"/>
      <c r="AC76" s="646"/>
      <c r="AD76" s="646"/>
      <c r="AE76" s="646"/>
      <c r="AF76" s="646"/>
      <c r="AG76" s="646"/>
      <c r="AH76" s="646"/>
      <c r="AI76" s="646"/>
      <c r="AJ76" s="646"/>
      <c r="AK76" s="646"/>
      <c r="AL76" s="646"/>
      <c r="AM76" s="646"/>
      <c r="AN76" s="646"/>
    </row>
    <row r="77" spans="2:40" x14ac:dyDescent="0.2">
      <c r="B77" s="248">
        <f t="shared" si="27"/>
        <v>4.0169806248622297</v>
      </c>
      <c r="C77" s="200">
        <f t="shared" ref="C77:D77" si="40">C48</f>
        <v>1.291666666666667</v>
      </c>
      <c r="D77" s="200">
        <f t="shared" si="40"/>
        <v>1.3333333333333337</v>
      </c>
      <c r="E77" s="201">
        <v>14</v>
      </c>
      <c r="F77" s="202" t="s">
        <v>340</v>
      </c>
      <c r="G77" s="203" t="s">
        <v>358</v>
      </c>
      <c r="H77" s="646">
        <v>4.0169806248622297</v>
      </c>
      <c r="I77" s="646"/>
      <c r="J77" s="646"/>
      <c r="K77" s="646"/>
      <c r="L77" s="646"/>
      <c r="M77" s="646"/>
      <c r="N77" s="646"/>
      <c r="O77" s="646"/>
      <c r="P77" s="646"/>
      <c r="Q77" s="646"/>
      <c r="R77" s="646"/>
      <c r="S77" s="646"/>
      <c r="T77" s="646"/>
      <c r="U77" s="646"/>
      <c r="V77" s="646"/>
      <c r="W77" s="646"/>
      <c r="X77" s="646"/>
      <c r="Y77" s="646"/>
      <c r="Z77" s="646"/>
      <c r="AA77" s="646"/>
      <c r="AB77" s="646"/>
      <c r="AC77" s="646"/>
      <c r="AD77" s="646"/>
      <c r="AE77" s="646"/>
      <c r="AF77" s="646"/>
      <c r="AG77" s="646"/>
      <c r="AH77" s="646"/>
      <c r="AI77" s="646"/>
      <c r="AJ77" s="646"/>
      <c r="AK77" s="646"/>
      <c r="AL77" s="646"/>
      <c r="AM77" s="646"/>
      <c r="AN77" s="646"/>
    </row>
    <row r="78" spans="2:40" x14ac:dyDescent="0.2">
      <c r="B78" s="248">
        <f t="shared" si="27"/>
        <v>5.67690076709032</v>
      </c>
      <c r="C78" s="200">
        <f t="shared" ref="C78:D78" si="41">C49</f>
        <v>1.3333333333333337</v>
      </c>
      <c r="D78" s="200">
        <f t="shared" si="41"/>
        <v>1.3750000000000004</v>
      </c>
      <c r="E78" s="201">
        <v>15</v>
      </c>
      <c r="F78" s="202" t="s">
        <v>340</v>
      </c>
      <c r="G78" s="203" t="s">
        <v>358</v>
      </c>
      <c r="H78" s="646">
        <v>5.67690076709032</v>
      </c>
      <c r="I78" s="646"/>
      <c r="J78" s="646"/>
      <c r="K78" s="646"/>
      <c r="L78" s="646"/>
      <c r="M78" s="646"/>
      <c r="N78" s="646"/>
      <c r="O78" s="646"/>
      <c r="P78" s="646"/>
      <c r="Q78" s="646"/>
      <c r="R78" s="646"/>
      <c r="S78" s="646"/>
      <c r="T78" s="646"/>
      <c r="U78" s="646"/>
      <c r="V78" s="646"/>
      <c r="W78" s="646"/>
      <c r="X78" s="646"/>
      <c r="Y78" s="646"/>
      <c r="Z78" s="646"/>
      <c r="AA78" s="646"/>
      <c r="AB78" s="646"/>
      <c r="AC78" s="646"/>
      <c r="AD78" s="646"/>
      <c r="AE78" s="646"/>
      <c r="AF78" s="646"/>
      <c r="AG78" s="646"/>
      <c r="AH78" s="646"/>
      <c r="AI78" s="646"/>
      <c r="AJ78" s="646"/>
      <c r="AK78" s="646"/>
      <c r="AL78" s="646"/>
      <c r="AM78" s="646"/>
      <c r="AN78" s="646"/>
    </row>
    <row r="79" spans="2:40" x14ac:dyDescent="0.2">
      <c r="B79" s="248">
        <f t="shared" si="27"/>
        <v>5.7785410575422604</v>
      </c>
      <c r="C79" s="200">
        <f t="shared" ref="C79:D79" si="42">C50</f>
        <v>1.3750000000000004</v>
      </c>
      <c r="D79" s="200">
        <f t="shared" si="42"/>
        <v>1.4166666666666672</v>
      </c>
      <c r="E79" s="201">
        <v>16</v>
      </c>
      <c r="F79" s="202" t="s">
        <v>340</v>
      </c>
      <c r="G79" s="203" t="s">
        <v>358</v>
      </c>
      <c r="H79" s="646">
        <v>5.7785410575422604</v>
      </c>
      <c r="I79" s="646"/>
      <c r="J79" s="646"/>
      <c r="K79" s="646"/>
      <c r="L79" s="646"/>
      <c r="M79" s="646"/>
      <c r="N79" s="646"/>
      <c r="O79" s="646"/>
      <c r="P79" s="646"/>
      <c r="Q79" s="646"/>
      <c r="R79" s="646"/>
      <c r="S79" s="646"/>
      <c r="T79" s="646"/>
      <c r="U79" s="646"/>
      <c r="V79" s="646"/>
      <c r="W79" s="646"/>
      <c r="X79" s="646"/>
      <c r="Y79" s="646"/>
      <c r="Z79" s="646"/>
      <c r="AA79" s="646"/>
      <c r="AB79" s="646"/>
      <c r="AC79" s="646"/>
      <c r="AD79" s="646"/>
      <c r="AE79" s="646"/>
      <c r="AF79" s="646"/>
      <c r="AG79" s="646"/>
      <c r="AH79" s="646"/>
      <c r="AI79" s="646"/>
      <c r="AJ79" s="646"/>
      <c r="AK79" s="646"/>
      <c r="AL79" s="646"/>
      <c r="AM79" s="646"/>
      <c r="AN79" s="646"/>
    </row>
    <row r="80" spans="2:40" x14ac:dyDescent="0.2">
      <c r="B80" s="248">
        <f t="shared" si="27"/>
        <v>6.1533052799010202</v>
      </c>
      <c r="C80" s="200">
        <f t="shared" ref="C80:D80" si="43">C51</f>
        <v>1.4166666666666672</v>
      </c>
      <c r="D80" s="200">
        <f t="shared" si="43"/>
        <v>1.4583333333333339</v>
      </c>
      <c r="E80" s="201">
        <v>17</v>
      </c>
      <c r="F80" s="202" t="s">
        <v>340</v>
      </c>
      <c r="G80" s="203" t="s">
        <v>358</v>
      </c>
      <c r="H80" s="646">
        <v>6.1533052799010202</v>
      </c>
      <c r="I80" s="646"/>
      <c r="J80" s="646"/>
      <c r="K80" s="646"/>
      <c r="L80" s="646"/>
      <c r="M80" s="646"/>
      <c r="N80" s="646"/>
      <c r="O80" s="646"/>
      <c r="P80" s="646"/>
      <c r="Q80" s="646"/>
      <c r="R80" s="646"/>
      <c r="S80" s="646"/>
      <c r="T80" s="646"/>
      <c r="U80" s="646"/>
      <c r="V80" s="646"/>
      <c r="W80" s="646"/>
      <c r="X80" s="646"/>
      <c r="Y80" s="646"/>
      <c r="Z80" s="646"/>
      <c r="AA80" s="646"/>
      <c r="AB80" s="646"/>
      <c r="AC80" s="646"/>
      <c r="AD80" s="646"/>
      <c r="AE80" s="646"/>
      <c r="AF80" s="646"/>
      <c r="AG80" s="646"/>
      <c r="AH80" s="646"/>
      <c r="AI80" s="646"/>
      <c r="AJ80" s="646"/>
      <c r="AK80" s="646"/>
      <c r="AL80" s="646"/>
      <c r="AM80" s="646"/>
      <c r="AN80" s="646"/>
    </row>
    <row r="81" spans="2:40" x14ac:dyDescent="0.2">
      <c r="B81" s="248">
        <f t="shared" si="27"/>
        <v>6.47683981698792</v>
      </c>
      <c r="C81" s="200">
        <f t="shared" ref="C81:D81" si="44">C52</f>
        <v>1.4583333333333339</v>
      </c>
      <c r="D81" s="200">
        <f t="shared" si="44"/>
        <v>1.5000000000000007</v>
      </c>
      <c r="E81" s="201">
        <v>18</v>
      </c>
      <c r="F81" s="202" t="s">
        <v>340</v>
      </c>
      <c r="G81" s="203" t="s">
        <v>358</v>
      </c>
      <c r="H81" s="646">
        <v>6.47683981698792</v>
      </c>
      <c r="I81" s="646"/>
      <c r="J81" s="646"/>
      <c r="K81" s="646"/>
      <c r="L81" s="646"/>
      <c r="M81" s="646"/>
      <c r="N81" s="646"/>
      <c r="O81" s="646"/>
      <c r="P81" s="646"/>
      <c r="Q81" s="646"/>
      <c r="R81" s="646"/>
      <c r="S81" s="646"/>
      <c r="T81" s="646"/>
      <c r="U81" s="646"/>
      <c r="V81" s="646"/>
      <c r="W81" s="646"/>
      <c r="X81" s="646"/>
      <c r="Y81" s="646"/>
      <c r="Z81" s="646"/>
      <c r="AA81" s="646"/>
      <c r="AB81" s="646"/>
      <c r="AC81" s="646"/>
      <c r="AD81" s="646"/>
      <c r="AE81" s="646"/>
      <c r="AF81" s="646"/>
      <c r="AG81" s="646"/>
      <c r="AH81" s="646"/>
      <c r="AI81" s="646"/>
      <c r="AJ81" s="646"/>
      <c r="AK81" s="646"/>
      <c r="AL81" s="646"/>
      <c r="AM81" s="646"/>
      <c r="AN81" s="646"/>
    </row>
    <row r="82" spans="2:40" x14ac:dyDescent="0.2">
      <c r="B82" s="248">
        <f t="shared" si="27"/>
        <v>6.4469753252468696</v>
      </c>
      <c r="C82" s="200">
        <f t="shared" ref="C82:D82" si="45">C53</f>
        <v>1.5000000000000007</v>
      </c>
      <c r="D82" s="200">
        <f t="shared" si="45"/>
        <v>1.5416666666666674</v>
      </c>
      <c r="E82" s="201">
        <v>19</v>
      </c>
      <c r="F82" s="202" t="s">
        <v>340</v>
      </c>
      <c r="G82" s="203" t="s">
        <v>358</v>
      </c>
      <c r="H82" s="646">
        <v>6.4469753252468696</v>
      </c>
      <c r="I82" s="646"/>
      <c r="J82" s="646"/>
      <c r="K82" s="646"/>
      <c r="L82" s="646"/>
      <c r="M82" s="646"/>
      <c r="N82" s="646"/>
      <c r="O82" s="646"/>
      <c r="P82" s="646"/>
      <c r="Q82" s="646"/>
      <c r="R82" s="646"/>
      <c r="S82" s="646"/>
      <c r="T82" s="646"/>
      <c r="U82" s="646"/>
      <c r="V82" s="646"/>
      <c r="W82" s="646"/>
      <c r="X82" s="646"/>
      <c r="Y82" s="646"/>
      <c r="Z82" s="646"/>
      <c r="AA82" s="646"/>
      <c r="AB82" s="646"/>
      <c r="AC82" s="646"/>
      <c r="AD82" s="646"/>
      <c r="AE82" s="646"/>
      <c r="AF82" s="646"/>
      <c r="AG82" s="646"/>
      <c r="AH82" s="646"/>
      <c r="AI82" s="646"/>
      <c r="AJ82" s="646"/>
      <c r="AK82" s="646"/>
      <c r="AL82" s="646"/>
      <c r="AM82" s="646"/>
      <c r="AN82" s="646"/>
    </row>
    <row r="83" spans="2:40" x14ac:dyDescent="0.2">
      <c r="B83" s="248">
        <f t="shared" si="27"/>
        <v>5.7702267285277102</v>
      </c>
      <c r="C83" s="200">
        <f t="shared" ref="C83:D83" si="46">C54</f>
        <v>1.5416666666666674</v>
      </c>
      <c r="D83" s="200">
        <f t="shared" si="46"/>
        <v>1.5833333333333341</v>
      </c>
      <c r="E83" s="201">
        <v>20</v>
      </c>
      <c r="F83" s="202" t="s">
        <v>340</v>
      </c>
      <c r="G83" s="203" t="s">
        <v>358</v>
      </c>
      <c r="H83" s="646">
        <v>5.7702267285277102</v>
      </c>
      <c r="I83" s="646"/>
      <c r="J83" s="646"/>
      <c r="K83" s="646"/>
      <c r="L83" s="646"/>
      <c r="M83" s="646"/>
      <c r="N83" s="646"/>
      <c r="O83" s="646"/>
      <c r="P83" s="646"/>
      <c r="Q83" s="646"/>
      <c r="R83" s="646"/>
      <c r="S83" s="646"/>
      <c r="T83" s="646"/>
      <c r="U83" s="646"/>
      <c r="V83" s="646"/>
      <c r="W83" s="646"/>
      <c r="X83" s="646"/>
      <c r="Y83" s="646"/>
      <c r="Z83" s="646"/>
      <c r="AA83" s="646"/>
      <c r="AB83" s="646"/>
      <c r="AC83" s="646"/>
      <c r="AD83" s="646"/>
      <c r="AE83" s="646"/>
      <c r="AF83" s="646"/>
      <c r="AG83" s="646"/>
      <c r="AH83" s="646"/>
      <c r="AI83" s="646"/>
      <c r="AJ83" s="646"/>
      <c r="AK83" s="646"/>
      <c r="AL83" s="646"/>
      <c r="AM83" s="646"/>
      <c r="AN83" s="646"/>
    </row>
    <row r="84" spans="2:40" x14ac:dyDescent="0.2">
      <c r="B84" s="248">
        <f t="shared" si="27"/>
        <v>6.79441016728323</v>
      </c>
      <c r="C84" s="200">
        <f t="shared" ref="C84:D84" si="47">C55</f>
        <v>1.5833333333333341</v>
      </c>
      <c r="D84" s="200">
        <f t="shared" si="47"/>
        <v>1.6250000000000009</v>
      </c>
      <c r="E84" s="201">
        <v>21</v>
      </c>
      <c r="F84" s="202" t="s">
        <v>340</v>
      </c>
      <c r="G84" s="203" t="s">
        <v>358</v>
      </c>
      <c r="H84" s="646">
        <v>6.79441016728323</v>
      </c>
      <c r="I84" s="646"/>
      <c r="J84" s="646"/>
      <c r="K84" s="646"/>
      <c r="L84" s="646"/>
      <c r="M84" s="646"/>
      <c r="N84" s="646"/>
      <c r="O84" s="646"/>
      <c r="P84" s="646"/>
      <c r="Q84" s="646"/>
      <c r="R84" s="646"/>
      <c r="S84" s="646"/>
      <c r="T84" s="646"/>
      <c r="U84" s="646"/>
      <c r="V84" s="646"/>
      <c r="W84" s="646"/>
      <c r="X84" s="646"/>
      <c r="Y84" s="646"/>
      <c r="Z84" s="646"/>
      <c r="AA84" s="646"/>
      <c r="AB84" s="646"/>
      <c r="AC84" s="646"/>
      <c r="AD84" s="646"/>
      <c r="AE84" s="646"/>
      <c r="AF84" s="646"/>
      <c r="AG84" s="646"/>
      <c r="AH84" s="646"/>
      <c r="AI84" s="646"/>
      <c r="AJ84" s="646"/>
      <c r="AK84" s="646"/>
      <c r="AL84" s="646"/>
      <c r="AM84" s="646"/>
      <c r="AN84" s="646"/>
    </row>
    <row r="85" spans="2:40" x14ac:dyDescent="0.2">
      <c r="B85" s="248">
        <f t="shared" si="27"/>
        <v>7.0224157444719602</v>
      </c>
      <c r="C85" s="200">
        <f t="shared" ref="C85:D85" si="48">C56</f>
        <v>1.6250000000000009</v>
      </c>
      <c r="D85" s="200">
        <f t="shared" si="48"/>
        <v>1.6666666666666676</v>
      </c>
      <c r="E85" s="201">
        <v>22</v>
      </c>
      <c r="F85" s="202" t="s">
        <v>340</v>
      </c>
      <c r="G85" s="203" t="s">
        <v>358</v>
      </c>
      <c r="H85" s="646">
        <v>7.0224157444719602</v>
      </c>
      <c r="I85" s="646"/>
      <c r="J85" s="646"/>
      <c r="K85" s="646"/>
      <c r="L85" s="646"/>
      <c r="M85" s="646"/>
      <c r="N85" s="646"/>
      <c r="O85" s="646"/>
      <c r="P85" s="646"/>
      <c r="Q85" s="646"/>
      <c r="R85" s="646"/>
      <c r="S85" s="646"/>
      <c r="T85" s="646"/>
      <c r="U85" s="646"/>
      <c r="V85" s="646"/>
      <c r="W85" s="646"/>
      <c r="X85" s="646"/>
      <c r="Y85" s="646"/>
      <c r="Z85" s="646"/>
      <c r="AA85" s="646"/>
      <c r="AB85" s="646"/>
      <c r="AC85" s="646"/>
      <c r="AD85" s="646"/>
      <c r="AE85" s="646"/>
      <c r="AF85" s="646"/>
      <c r="AG85" s="646"/>
      <c r="AH85" s="646"/>
      <c r="AI85" s="646"/>
      <c r="AJ85" s="646"/>
      <c r="AK85" s="646"/>
      <c r="AL85" s="646"/>
      <c r="AM85" s="646"/>
      <c r="AN85" s="646"/>
    </row>
    <row r="86" spans="2:40" x14ac:dyDescent="0.2">
      <c r="B86" s="248">
        <f t="shared" si="27"/>
        <v>6.6955459891443603</v>
      </c>
      <c r="C86" s="200">
        <f t="shared" ref="C86:D86" si="49">C57</f>
        <v>1.6666666666666676</v>
      </c>
      <c r="D86" s="200">
        <f t="shared" si="49"/>
        <v>1.7083333333333344</v>
      </c>
      <c r="E86" s="201">
        <v>23</v>
      </c>
      <c r="F86" s="202" t="s">
        <v>340</v>
      </c>
      <c r="G86" s="203" t="s">
        <v>358</v>
      </c>
      <c r="H86" s="646">
        <v>6.6955459891443603</v>
      </c>
      <c r="I86" s="646"/>
      <c r="J86" s="646"/>
      <c r="K86" s="646"/>
      <c r="L86" s="646"/>
      <c r="M86" s="646"/>
      <c r="N86" s="646"/>
      <c r="O86" s="646"/>
      <c r="P86" s="646"/>
      <c r="Q86" s="646"/>
      <c r="R86" s="646"/>
      <c r="S86" s="646"/>
      <c r="T86" s="646"/>
      <c r="U86" s="646"/>
      <c r="V86" s="646"/>
      <c r="W86" s="646"/>
      <c r="X86" s="646"/>
      <c r="Y86" s="646"/>
      <c r="Z86" s="646"/>
      <c r="AA86" s="646"/>
      <c r="AB86" s="646"/>
      <c r="AC86" s="646"/>
      <c r="AD86" s="646"/>
      <c r="AE86" s="646"/>
      <c r="AF86" s="646"/>
      <c r="AG86" s="646"/>
      <c r="AH86" s="646"/>
      <c r="AI86" s="646"/>
      <c r="AJ86" s="646"/>
      <c r="AK86" s="646"/>
      <c r="AL86" s="646"/>
      <c r="AM86" s="646"/>
      <c r="AN86" s="646"/>
    </row>
    <row r="87" spans="2:40" x14ac:dyDescent="0.2">
      <c r="B87" s="248">
        <f t="shared" si="27"/>
        <v>7.4419268087797299</v>
      </c>
      <c r="C87" s="200">
        <f t="shared" ref="C87:D87" si="50">C58</f>
        <v>1.7083333333333344</v>
      </c>
      <c r="D87" s="200">
        <f t="shared" si="50"/>
        <v>1.7500000000000011</v>
      </c>
      <c r="E87" s="201">
        <v>24</v>
      </c>
      <c r="F87" s="202" t="s">
        <v>361</v>
      </c>
      <c r="G87" s="203" t="s">
        <v>358</v>
      </c>
      <c r="H87" s="646">
        <v>7.4419268087797299</v>
      </c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46"/>
      <c r="AB87" s="646"/>
      <c r="AC87" s="646"/>
      <c r="AD87" s="646"/>
      <c r="AE87" s="646"/>
      <c r="AF87" s="646"/>
      <c r="AG87" s="646"/>
      <c r="AH87" s="646"/>
      <c r="AI87" s="646"/>
      <c r="AJ87" s="646"/>
      <c r="AK87" s="646"/>
      <c r="AL87" s="646"/>
      <c r="AM87" s="646"/>
      <c r="AN87" s="646"/>
    </row>
    <row r="89" spans="2:40" ht="12" customHeight="1" x14ac:dyDescent="0.2">
      <c r="C89" s="814" t="s">
        <v>7</v>
      </c>
      <c r="D89" s="815"/>
      <c r="E89" s="805" t="s">
        <v>48</v>
      </c>
      <c r="F89" s="806"/>
      <c r="G89" s="807"/>
      <c r="H89" s="247"/>
      <c r="I89" s="196"/>
      <c r="J89" s="196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</row>
    <row r="90" spans="2:40" x14ac:dyDescent="0.2">
      <c r="C90" s="816"/>
      <c r="D90" s="817"/>
      <c r="E90" s="808"/>
      <c r="F90" s="809"/>
      <c r="G90" s="810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</row>
    <row r="91" spans="2:40" x14ac:dyDescent="0.2">
      <c r="C91" s="818"/>
      <c r="D91" s="819"/>
      <c r="E91" s="811"/>
      <c r="F91" s="812"/>
      <c r="G91" s="813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</row>
    <row r="92" spans="2:40" x14ac:dyDescent="0.2">
      <c r="C92" s="803" t="s">
        <v>47</v>
      </c>
      <c r="D92" s="804"/>
      <c r="E92" s="244"/>
      <c r="F92" s="245" t="s">
        <v>360</v>
      </c>
      <c r="G92" s="246"/>
      <c r="H92" s="198" t="s">
        <v>343</v>
      </c>
      <c r="I92" s="198" t="s">
        <v>343</v>
      </c>
      <c r="J92" s="198" t="s">
        <v>343</v>
      </c>
      <c r="K92" s="198" t="s">
        <v>343</v>
      </c>
      <c r="L92" s="198" t="s">
        <v>343</v>
      </c>
      <c r="M92" s="198" t="s">
        <v>343</v>
      </c>
      <c r="N92" s="198" t="s">
        <v>343</v>
      </c>
      <c r="O92" s="198" t="s">
        <v>343</v>
      </c>
      <c r="P92" s="198" t="s">
        <v>343</v>
      </c>
      <c r="Q92" s="198" t="s">
        <v>343</v>
      </c>
      <c r="R92" s="198" t="s">
        <v>343</v>
      </c>
      <c r="S92" s="198" t="s">
        <v>343</v>
      </c>
      <c r="T92" s="198" t="s">
        <v>343</v>
      </c>
      <c r="U92" s="198" t="s">
        <v>343</v>
      </c>
      <c r="V92" s="198" t="s">
        <v>343</v>
      </c>
      <c r="W92" s="198" t="s">
        <v>343</v>
      </c>
      <c r="X92" s="198" t="s">
        <v>343</v>
      </c>
      <c r="Y92" s="198" t="s">
        <v>343</v>
      </c>
      <c r="Z92" s="198" t="s">
        <v>343</v>
      </c>
      <c r="AA92" s="198" t="s">
        <v>343</v>
      </c>
      <c r="AB92" s="198" t="s">
        <v>343</v>
      </c>
      <c r="AC92" s="198" t="s">
        <v>343</v>
      </c>
      <c r="AD92" s="198" t="s">
        <v>343</v>
      </c>
      <c r="AE92" s="198" t="s">
        <v>343</v>
      </c>
      <c r="AF92" s="198" t="s">
        <v>343</v>
      </c>
      <c r="AG92" s="198" t="s">
        <v>343</v>
      </c>
      <c r="AH92" s="198" t="s">
        <v>343</v>
      </c>
      <c r="AI92" s="198" t="s">
        <v>343</v>
      </c>
      <c r="AJ92" s="198" t="s">
        <v>343</v>
      </c>
      <c r="AK92" s="198" t="s">
        <v>343</v>
      </c>
      <c r="AL92" s="198" t="s">
        <v>343</v>
      </c>
      <c r="AM92" s="198" t="s">
        <v>343</v>
      </c>
      <c r="AN92" s="198" t="s">
        <v>343</v>
      </c>
    </row>
    <row r="93" spans="2:40" x14ac:dyDescent="0.2">
      <c r="B93" s="248">
        <f>SUM(H93:AN93)</f>
        <v>0</v>
      </c>
      <c r="C93" s="200">
        <f>C64</f>
        <v>0.75</v>
      </c>
      <c r="D93" s="200">
        <f>D64</f>
        <v>0.79166666666666663</v>
      </c>
      <c r="E93" s="201">
        <v>1</v>
      </c>
      <c r="F93" s="202" t="s">
        <v>339</v>
      </c>
      <c r="G93" s="203" t="s">
        <v>356</v>
      </c>
      <c r="H93" s="646"/>
      <c r="I93" s="646"/>
      <c r="J93" s="646"/>
      <c r="K93" s="646"/>
      <c r="L93" s="646"/>
      <c r="M93" s="646"/>
      <c r="N93" s="646"/>
      <c r="O93" s="646"/>
      <c r="P93" s="646"/>
      <c r="Q93" s="646"/>
      <c r="R93" s="646"/>
      <c r="S93" s="646"/>
      <c r="T93" s="646"/>
      <c r="U93" s="646"/>
      <c r="V93" s="646"/>
      <c r="W93" s="646"/>
      <c r="X93" s="646"/>
      <c r="Y93" s="646"/>
      <c r="Z93" s="646"/>
      <c r="AA93" s="646"/>
      <c r="AB93" s="646"/>
      <c r="AC93" s="646"/>
      <c r="AD93" s="646"/>
      <c r="AE93" s="646"/>
      <c r="AF93" s="646"/>
      <c r="AG93" s="646"/>
      <c r="AH93" s="646"/>
      <c r="AI93" s="646"/>
      <c r="AJ93" s="646"/>
      <c r="AK93" s="646"/>
      <c r="AL93" s="646"/>
      <c r="AM93" s="646"/>
      <c r="AN93" s="646"/>
    </row>
    <row r="94" spans="2:40" x14ac:dyDescent="0.2">
      <c r="B94" s="248">
        <f t="shared" ref="B94:B116" si="51">SUM(H94:AN94)</f>
        <v>0</v>
      </c>
      <c r="C94" s="200">
        <f t="shared" ref="C94:D94" si="52">C65</f>
        <v>0.79166666666666663</v>
      </c>
      <c r="D94" s="200">
        <f t="shared" si="52"/>
        <v>0.83333333333333326</v>
      </c>
      <c r="E94" s="201">
        <v>2</v>
      </c>
      <c r="F94" s="202" t="s">
        <v>339</v>
      </c>
      <c r="G94" s="203" t="s">
        <v>356</v>
      </c>
      <c r="H94" s="646"/>
      <c r="I94" s="646"/>
      <c r="J94" s="646"/>
      <c r="K94" s="646"/>
      <c r="L94" s="646"/>
      <c r="M94" s="646"/>
      <c r="N94" s="646"/>
      <c r="O94" s="646"/>
      <c r="P94" s="646"/>
      <c r="Q94" s="646"/>
      <c r="R94" s="646"/>
      <c r="S94" s="646"/>
      <c r="T94" s="646"/>
      <c r="U94" s="646"/>
      <c r="V94" s="646"/>
      <c r="W94" s="646"/>
      <c r="X94" s="646"/>
      <c r="Y94" s="646"/>
      <c r="Z94" s="646"/>
      <c r="AA94" s="646"/>
      <c r="AB94" s="646"/>
      <c r="AC94" s="646"/>
      <c r="AD94" s="646"/>
      <c r="AE94" s="646"/>
      <c r="AF94" s="646"/>
      <c r="AG94" s="646"/>
      <c r="AH94" s="646"/>
      <c r="AI94" s="646"/>
      <c r="AJ94" s="646"/>
      <c r="AK94" s="646"/>
      <c r="AL94" s="646"/>
      <c r="AM94" s="646"/>
      <c r="AN94" s="646"/>
    </row>
    <row r="95" spans="2:40" x14ac:dyDescent="0.2">
      <c r="B95" s="248">
        <f t="shared" si="51"/>
        <v>0</v>
      </c>
      <c r="C95" s="200">
        <f t="shared" ref="C95:D95" si="53">C66</f>
        <v>0.83333333333333326</v>
      </c>
      <c r="D95" s="200">
        <f t="shared" si="53"/>
        <v>0.87499999999999989</v>
      </c>
      <c r="E95" s="201">
        <v>3</v>
      </c>
      <c r="F95" s="202" t="s">
        <v>339</v>
      </c>
      <c r="G95" s="203" t="s">
        <v>356</v>
      </c>
      <c r="H95" s="646"/>
      <c r="I95" s="646"/>
      <c r="J95" s="646"/>
      <c r="K95" s="646"/>
      <c r="L95" s="646"/>
      <c r="M95" s="646"/>
      <c r="N95" s="646"/>
      <c r="O95" s="646"/>
      <c r="P95" s="646"/>
      <c r="Q95" s="646"/>
      <c r="R95" s="646"/>
      <c r="S95" s="646"/>
      <c r="T95" s="646"/>
      <c r="U95" s="646"/>
      <c r="V95" s="646"/>
      <c r="W95" s="646"/>
      <c r="X95" s="646"/>
      <c r="Y95" s="646"/>
      <c r="Z95" s="646"/>
      <c r="AA95" s="646"/>
      <c r="AB95" s="646"/>
      <c r="AC95" s="646"/>
      <c r="AD95" s="646"/>
      <c r="AE95" s="646"/>
      <c r="AF95" s="646"/>
      <c r="AG95" s="646"/>
      <c r="AH95" s="646"/>
      <c r="AI95" s="646"/>
      <c r="AJ95" s="646"/>
      <c r="AK95" s="646"/>
      <c r="AL95" s="646"/>
      <c r="AM95" s="646"/>
      <c r="AN95" s="646"/>
    </row>
    <row r="96" spans="2:40" x14ac:dyDescent="0.2">
      <c r="B96" s="248">
        <f t="shared" si="51"/>
        <v>0</v>
      </c>
      <c r="C96" s="200">
        <f t="shared" ref="C96:D96" si="54">C67</f>
        <v>0.87499999999999989</v>
      </c>
      <c r="D96" s="200">
        <f t="shared" si="54"/>
        <v>0.91666666666666652</v>
      </c>
      <c r="E96" s="201">
        <v>4</v>
      </c>
      <c r="F96" s="202" t="s">
        <v>361</v>
      </c>
      <c r="G96" s="203" t="s">
        <v>358</v>
      </c>
      <c r="H96" s="646"/>
      <c r="I96" s="646"/>
      <c r="J96" s="646"/>
      <c r="K96" s="646"/>
      <c r="L96" s="646"/>
      <c r="M96" s="646"/>
      <c r="N96" s="646"/>
      <c r="O96" s="646"/>
      <c r="P96" s="646"/>
      <c r="Q96" s="646"/>
      <c r="R96" s="646"/>
      <c r="S96" s="646"/>
      <c r="T96" s="646"/>
      <c r="U96" s="646"/>
      <c r="V96" s="646"/>
      <c r="W96" s="646"/>
      <c r="X96" s="646"/>
      <c r="Y96" s="646"/>
      <c r="Z96" s="646"/>
      <c r="AA96" s="646"/>
      <c r="AB96" s="646"/>
      <c r="AC96" s="646"/>
      <c r="AD96" s="646"/>
      <c r="AE96" s="646"/>
      <c r="AF96" s="646"/>
      <c r="AG96" s="646"/>
      <c r="AH96" s="646"/>
      <c r="AI96" s="646"/>
      <c r="AJ96" s="646"/>
      <c r="AK96" s="646"/>
      <c r="AL96" s="646"/>
      <c r="AM96" s="646"/>
      <c r="AN96" s="646"/>
    </row>
    <row r="97" spans="2:40" x14ac:dyDescent="0.2">
      <c r="B97" s="248">
        <f t="shared" si="51"/>
        <v>0</v>
      </c>
      <c r="C97" s="200">
        <f t="shared" ref="C97:D97" si="55">C68</f>
        <v>0.91666666666666652</v>
      </c>
      <c r="D97" s="200">
        <f t="shared" si="55"/>
        <v>0.95833333333333315</v>
      </c>
      <c r="E97" s="201">
        <v>5</v>
      </c>
      <c r="F97" s="202" t="s">
        <v>340</v>
      </c>
      <c r="G97" s="203" t="s">
        <v>358</v>
      </c>
      <c r="H97" s="646"/>
      <c r="I97" s="646"/>
      <c r="J97" s="646"/>
      <c r="K97" s="646"/>
      <c r="L97" s="646"/>
      <c r="M97" s="646"/>
      <c r="N97" s="646"/>
      <c r="O97" s="646"/>
      <c r="P97" s="646"/>
      <c r="Q97" s="646"/>
      <c r="R97" s="646"/>
      <c r="S97" s="646"/>
      <c r="T97" s="646"/>
      <c r="U97" s="646"/>
      <c r="V97" s="646"/>
      <c r="W97" s="646"/>
      <c r="X97" s="646"/>
      <c r="Y97" s="646"/>
      <c r="Z97" s="646"/>
      <c r="AA97" s="646"/>
      <c r="AB97" s="646"/>
      <c r="AC97" s="646"/>
      <c r="AD97" s="646"/>
      <c r="AE97" s="646"/>
      <c r="AF97" s="646"/>
      <c r="AG97" s="646"/>
      <c r="AH97" s="646"/>
      <c r="AI97" s="646"/>
      <c r="AJ97" s="646"/>
      <c r="AK97" s="646"/>
      <c r="AL97" s="646"/>
      <c r="AM97" s="646"/>
      <c r="AN97" s="646"/>
    </row>
    <row r="98" spans="2:40" x14ac:dyDescent="0.2">
      <c r="B98" s="248">
        <f t="shared" si="51"/>
        <v>0</v>
      </c>
      <c r="C98" s="200">
        <f t="shared" ref="C98:D98" si="56">C69</f>
        <v>0.95833333333333315</v>
      </c>
      <c r="D98" s="200">
        <f t="shared" si="56"/>
        <v>0.99999999999999978</v>
      </c>
      <c r="E98" s="201">
        <v>6</v>
      </c>
      <c r="F98" s="202" t="s">
        <v>340</v>
      </c>
      <c r="G98" s="203" t="s">
        <v>358</v>
      </c>
      <c r="H98" s="646"/>
      <c r="I98" s="646"/>
      <c r="J98" s="646"/>
      <c r="K98" s="646"/>
      <c r="L98" s="646"/>
      <c r="M98" s="646"/>
      <c r="N98" s="646"/>
      <c r="O98" s="646"/>
      <c r="P98" s="646"/>
      <c r="Q98" s="646"/>
      <c r="R98" s="646"/>
      <c r="S98" s="646"/>
      <c r="T98" s="646"/>
      <c r="U98" s="646"/>
      <c r="V98" s="646"/>
      <c r="W98" s="646"/>
      <c r="X98" s="646"/>
      <c r="Y98" s="646"/>
      <c r="Z98" s="646"/>
      <c r="AA98" s="646"/>
      <c r="AB98" s="646"/>
      <c r="AC98" s="646"/>
      <c r="AD98" s="646"/>
      <c r="AE98" s="646"/>
      <c r="AF98" s="646"/>
      <c r="AG98" s="646"/>
      <c r="AH98" s="646"/>
      <c r="AI98" s="646"/>
      <c r="AJ98" s="646"/>
      <c r="AK98" s="646"/>
      <c r="AL98" s="646"/>
      <c r="AM98" s="646"/>
      <c r="AN98" s="646"/>
    </row>
    <row r="99" spans="2:40" x14ac:dyDescent="0.2">
      <c r="B99" s="248">
        <f t="shared" si="51"/>
        <v>0</v>
      </c>
      <c r="C99" s="200">
        <f t="shared" ref="C99:D99" si="57">C70</f>
        <v>0.99999999999999978</v>
      </c>
      <c r="D99" s="200">
        <f t="shared" si="57"/>
        <v>1.0416666666666665</v>
      </c>
      <c r="E99" s="201">
        <v>7</v>
      </c>
      <c r="F99" s="202" t="s">
        <v>340</v>
      </c>
      <c r="G99" s="203" t="s">
        <v>358</v>
      </c>
      <c r="H99" s="646"/>
      <c r="I99" s="646"/>
      <c r="J99" s="646"/>
      <c r="K99" s="646"/>
      <c r="L99" s="646"/>
      <c r="M99" s="646"/>
      <c r="N99" s="646"/>
      <c r="O99" s="646"/>
      <c r="P99" s="646"/>
      <c r="Q99" s="646"/>
      <c r="R99" s="646"/>
      <c r="S99" s="646"/>
      <c r="T99" s="646"/>
      <c r="U99" s="646"/>
      <c r="V99" s="646"/>
      <c r="W99" s="646"/>
      <c r="X99" s="646"/>
      <c r="Y99" s="646"/>
      <c r="Z99" s="646"/>
      <c r="AA99" s="646"/>
      <c r="AB99" s="646"/>
      <c r="AC99" s="646"/>
      <c r="AD99" s="646"/>
      <c r="AE99" s="646"/>
      <c r="AF99" s="646"/>
      <c r="AG99" s="646"/>
      <c r="AH99" s="646"/>
      <c r="AI99" s="646"/>
      <c r="AJ99" s="646"/>
      <c r="AK99" s="646"/>
      <c r="AL99" s="646"/>
      <c r="AM99" s="646"/>
      <c r="AN99" s="646"/>
    </row>
    <row r="100" spans="2:40" x14ac:dyDescent="0.2">
      <c r="B100" s="248">
        <f t="shared" si="51"/>
        <v>0</v>
      </c>
      <c r="C100" s="200">
        <f t="shared" ref="C100:D100" si="58">C71</f>
        <v>1.0416666666666665</v>
      </c>
      <c r="D100" s="200">
        <f t="shared" si="58"/>
        <v>1.0833333333333333</v>
      </c>
      <c r="E100" s="201">
        <v>8</v>
      </c>
      <c r="F100" s="202" t="s">
        <v>340</v>
      </c>
      <c r="G100" s="203" t="s">
        <v>358</v>
      </c>
      <c r="H100" s="646"/>
      <c r="I100" s="646"/>
      <c r="J100" s="646"/>
      <c r="K100" s="646"/>
      <c r="L100" s="646"/>
      <c r="M100" s="646"/>
      <c r="N100" s="646"/>
      <c r="O100" s="646"/>
      <c r="P100" s="646"/>
      <c r="Q100" s="646"/>
      <c r="R100" s="646"/>
      <c r="S100" s="646"/>
      <c r="T100" s="646"/>
      <c r="U100" s="646"/>
      <c r="V100" s="646"/>
      <c r="W100" s="646"/>
      <c r="X100" s="646"/>
      <c r="Y100" s="646"/>
      <c r="Z100" s="646"/>
      <c r="AA100" s="646"/>
      <c r="AB100" s="646"/>
      <c r="AC100" s="646"/>
      <c r="AD100" s="646"/>
      <c r="AE100" s="646"/>
      <c r="AF100" s="646"/>
      <c r="AG100" s="646"/>
      <c r="AH100" s="646"/>
      <c r="AI100" s="646"/>
      <c r="AJ100" s="646"/>
      <c r="AK100" s="646"/>
      <c r="AL100" s="646"/>
      <c r="AM100" s="646"/>
      <c r="AN100" s="646"/>
    </row>
    <row r="101" spans="2:40" x14ac:dyDescent="0.2">
      <c r="B101" s="248">
        <f t="shared" si="51"/>
        <v>0</v>
      </c>
      <c r="C101" s="200">
        <f t="shared" ref="C101:D101" si="59">C72</f>
        <v>1.0833333333333333</v>
      </c>
      <c r="D101" s="200">
        <f t="shared" si="59"/>
        <v>1.125</v>
      </c>
      <c r="E101" s="201">
        <v>9</v>
      </c>
      <c r="F101" s="202" t="s">
        <v>340</v>
      </c>
      <c r="G101" s="203" t="s">
        <v>358</v>
      </c>
      <c r="H101" s="646"/>
      <c r="I101" s="646"/>
      <c r="J101" s="646"/>
      <c r="K101" s="646"/>
      <c r="L101" s="646"/>
      <c r="M101" s="646"/>
      <c r="N101" s="646"/>
      <c r="O101" s="646"/>
      <c r="P101" s="646"/>
      <c r="Q101" s="646"/>
      <c r="R101" s="646"/>
      <c r="S101" s="646"/>
      <c r="T101" s="646"/>
      <c r="U101" s="646"/>
      <c r="V101" s="646"/>
      <c r="W101" s="646"/>
      <c r="X101" s="646"/>
      <c r="Y101" s="646"/>
      <c r="Z101" s="646"/>
      <c r="AA101" s="646"/>
      <c r="AB101" s="646"/>
      <c r="AC101" s="646"/>
      <c r="AD101" s="646"/>
      <c r="AE101" s="646"/>
      <c r="AF101" s="646"/>
      <c r="AG101" s="646"/>
      <c r="AH101" s="646"/>
      <c r="AI101" s="646"/>
      <c r="AJ101" s="646"/>
      <c r="AK101" s="646"/>
      <c r="AL101" s="646"/>
      <c r="AM101" s="646"/>
      <c r="AN101" s="646"/>
    </row>
    <row r="102" spans="2:40" x14ac:dyDescent="0.2">
      <c r="B102" s="248">
        <f t="shared" si="51"/>
        <v>0</v>
      </c>
      <c r="C102" s="200">
        <f t="shared" ref="C102:D102" si="60">C73</f>
        <v>1.125</v>
      </c>
      <c r="D102" s="200">
        <f t="shared" si="60"/>
        <v>1.1666666666666667</v>
      </c>
      <c r="E102" s="201">
        <v>10</v>
      </c>
      <c r="F102" s="202" t="s">
        <v>340</v>
      </c>
      <c r="G102" s="203" t="s">
        <v>358</v>
      </c>
      <c r="H102" s="646"/>
      <c r="I102" s="646"/>
      <c r="J102" s="646"/>
      <c r="K102" s="646"/>
      <c r="L102" s="646"/>
      <c r="M102" s="646"/>
      <c r="N102" s="646"/>
      <c r="O102" s="646"/>
      <c r="P102" s="646"/>
      <c r="Q102" s="646"/>
      <c r="R102" s="646"/>
      <c r="S102" s="646"/>
      <c r="T102" s="646"/>
      <c r="U102" s="646"/>
      <c r="V102" s="646"/>
      <c r="W102" s="646"/>
      <c r="X102" s="646"/>
      <c r="Y102" s="646"/>
      <c r="Z102" s="646"/>
      <c r="AA102" s="646"/>
      <c r="AB102" s="646"/>
      <c r="AC102" s="646"/>
      <c r="AD102" s="646"/>
      <c r="AE102" s="646"/>
      <c r="AF102" s="646"/>
      <c r="AG102" s="646"/>
      <c r="AH102" s="646"/>
      <c r="AI102" s="646"/>
      <c r="AJ102" s="646"/>
      <c r="AK102" s="646"/>
      <c r="AL102" s="646"/>
      <c r="AM102" s="646"/>
      <c r="AN102" s="646"/>
    </row>
    <row r="103" spans="2:40" x14ac:dyDescent="0.2">
      <c r="B103" s="248">
        <f t="shared" si="51"/>
        <v>0</v>
      </c>
      <c r="C103" s="200">
        <f t="shared" ref="C103:D103" si="61">C74</f>
        <v>1.1666666666666667</v>
      </c>
      <c r="D103" s="200">
        <f t="shared" si="61"/>
        <v>1.2083333333333335</v>
      </c>
      <c r="E103" s="201">
        <v>11</v>
      </c>
      <c r="F103" s="202" t="s">
        <v>340</v>
      </c>
      <c r="G103" s="203" t="s">
        <v>358</v>
      </c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46"/>
      <c r="AB103" s="646"/>
      <c r="AC103" s="646"/>
      <c r="AD103" s="646"/>
      <c r="AE103" s="646"/>
      <c r="AF103" s="646"/>
      <c r="AG103" s="646"/>
      <c r="AH103" s="646"/>
      <c r="AI103" s="646"/>
      <c r="AJ103" s="646"/>
      <c r="AK103" s="646"/>
      <c r="AL103" s="646"/>
      <c r="AM103" s="646"/>
      <c r="AN103" s="646"/>
    </row>
    <row r="104" spans="2:40" x14ac:dyDescent="0.2">
      <c r="B104" s="248">
        <f t="shared" si="51"/>
        <v>0</v>
      </c>
      <c r="C104" s="200">
        <f t="shared" ref="C104:D104" si="62">C75</f>
        <v>1.2083333333333335</v>
      </c>
      <c r="D104" s="200">
        <f t="shared" si="62"/>
        <v>1.2500000000000002</v>
      </c>
      <c r="E104" s="201">
        <v>12</v>
      </c>
      <c r="F104" s="202" t="s">
        <v>340</v>
      </c>
      <c r="G104" s="203" t="s">
        <v>358</v>
      </c>
      <c r="H104" s="646"/>
      <c r="I104" s="646"/>
      <c r="J104" s="646"/>
      <c r="K104" s="646"/>
      <c r="L104" s="646"/>
      <c r="M104" s="646"/>
      <c r="N104" s="646"/>
      <c r="O104" s="646"/>
      <c r="P104" s="646"/>
      <c r="Q104" s="646"/>
      <c r="R104" s="646"/>
      <c r="S104" s="646"/>
      <c r="T104" s="646"/>
      <c r="U104" s="646"/>
      <c r="V104" s="646"/>
      <c r="W104" s="646"/>
      <c r="X104" s="646"/>
      <c r="Y104" s="646"/>
      <c r="Z104" s="646"/>
      <c r="AA104" s="646"/>
      <c r="AB104" s="646"/>
      <c r="AC104" s="646"/>
      <c r="AD104" s="646"/>
      <c r="AE104" s="646"/>
      <c r="AF104" s="646"/>
      <c r="AG104" s="646"/>
      <c r="AH104" s="646"/>
      <c r="AI104" s="646"/>
      <c r="AJ104" s="646"/>
      <c r="AK104" s="646"/>
      <c r="AL104" s="646"/>
      <c r="AM104" s="646"/>
      <c r="AN104" s="646"/>
    </row>
    <row r="105" spans="2:40" x14ac:dyDescent="0.2">
      <c r="B105" s="248">
        <f t="shared" si="51"/>
        <v>0</v>
      </c>
      <c r="C105" s="200">
        <f t="shared" ref="C105:D105" si="63">C76</f>
        <v>1.2500000000000002</v>
      </c>
      <c r="D105" s="200">
        <f t="shared" si="63"/>
        <v>1.291666666666667</v>
      </c>
      <c r="E105" s="201">
        <v>13</v>
      </c>
      <c r="F105" s="202" t="s">
        <v>340</v>
      </c>
      <c r="G105" s="203" t="s">
        <v>358</v>
      </c>
      <c r="H105" s="646"/>
      <c r="I105" s="646"/>
      <c r="J105" s="646"/>
      <c r="K105" s="646"/>
      <c r="L105" s="646"/>
      <c r="M105" s="646"/>
      <c r="N105" s="646"/>
      <c r="O105" s="646"/>
      <c r="P105" s="646"/>
      <c r="Q105" s="646"/>
      <c r="R105" s="646"/>
      <c r="S105" s="646"/>
      <c r="T105" s="646"/>
      <c r="U105" s="646"/>
      <c r="V105" s="646"/>
      <c r="W105" s="646"/>
      <c r="X105" s="646"/>
      <c r="Y105" s="646"/>
      <c r="Z105" s="646"/>
      <c r="AA105" s="646"/>
      <c r="AB105" s="646"/>
      <c r="AC105" s="646"/>
      <c r="AD105" s="646"/>
      <c r="AE105" s="646"/>
      <c r="AF105" s="646"/>
      <c r="AG105" s="646"/>
      <c r="AH105" s="646"/>
      <c r="AI105" s="646"/>
      <c r="AJ105" s="646"/>
      <c r="AK105" s="646"/>
      <c r="AL105" s="646"/>
      <c r="AM105" s="646"/>
      <c r="AN105" s="646"/>
    </row>
    <row r="106" spans="2:40" x14ac:dyDescent="0.2">
      <c r="B106" s="248">
        <f t="shared" si="51"/>
        <v>0</v>
      </c>
      <c r="C106" s="200">
        <f t="shared" ref="C106:D106" si="64">C77</f>
        <v>1.291666666666667</v>
      </c>
      <c r="D106" s="200">
        <f t="shared" si="64"/>
        <v>1.3333333333333337</v>
      </c>
      <c r="E106" s="201">
        <v>14</v>
      </c>
      <c r="F106" s="202" t="s">
        <v>340</v>
      </c>
      <c r="G106" s="203" t="s">
        <v>358</v>
      </c>
      <c r="H106" s="646"/>
      <c r="I106" s="646"/>
      <c r="J106" s="646"/>
      <c r="K106" s="646"/>
      <c r="L106" s="646"/>
      <c r="M106" s="646"/>
      <c r="N106" s="646"/>
      <c r="O106" s="646"/>
      <c r="P106" s="646"/>
      <c r="Q106" s="646"/>
      <c r="R106" s="646"/>
      <c r="S106" s="646"/>
      <c r="T106" s="646"/>
      <c r="U106" s="646"/>
      <c r="V106" s="646"/>
      <c r="W106" s="646"/>
      <c r="X106" s="646"/>
      <c r="Y106" s="646"/>
      <c r="Z106" s="646"/>
      <c r="AA106" s="646"/>
      <c r="AB106" s="646"/>
      <c r="AC106" s="646"/>
      <c r="AD106" s="646"/>
      <c r="AE106" s="646"/>
      <c r="AF106" s="646"/>
      <c r="AG106" s="646"/>
      <c r="AH106" s="646"/>
      <c r="AI106" s="646"/>
      <c r="AJ106" s="646"/>
      <c r="AK106" s="646"/>
      <c r="AL106" s="646"/>
      <c r="AM106" s="646"/>
      <c r="AN106" s="646"/>
    </row>
    <row r="107" spans="2:40" x14ac:dyDescent="0.2">
      <c r="B107" s="248">
        <f t="shared" si="51"/>
        <v>0</v>
      </c>
      <c r="C107" s="200">
        <f t="shared" ref="C107:D107" si="65">C78</f>
        <v>1.3333333333333337</v>
      </c>
      <c r="D107" s="200">
        <f t="shared" si="65"/>
        <v>1.3750000000000004</v>
      </c>
      <c r="E107" s="201">
        <v>15</v>
      </c>
      <c r="F107" s="202" t="s">
        <v>340</v>
      </c>
      <c r="G107" s="203" t="s">
        <v>358</v>
      </c>
      <c r="H107" s="646"/>
      <c r="I107" s="646"/>
      <c r="J107" s="646"/>
      <c r="K107" s="646"/>
      <c r="L107" s="646"/>
      <c r="M107" s="646"/>
      <c r="N107" s="646"/>
      <c r="O107" s="646"/>
      <c r="P107" s="646"/>
      <c r="Q107" s="646"/>
      <c r="R107" s="646"/>
      <c r="S107" s="646"/>
      <c r="T107" s="646"/>
      <c r="U107" s="646"/>
      <c r="V107" s="646"/>
      <c r="W107" s="646"/>
      <c r="X107" s="646"/>
      <c r="Y107" s="646"/>
      <c r="Z107" s="646"/>
      <c r="AA107" s="646"/>
      <c r="AB107" s="646"/>
      <c r="AC107" s="646"/>
      <c r="AD107" s="646"/>
      <c r="AE107" s="646"/>
      <c r="AF107" s="646"/>
      <c r="AG107" s="646"/>
      <c r="AH107" s="646"/>
      <c r="AI107" s="646"/>
      <c r="AJ107" s="646"/>
      <c r="AK107" s="646"/>
      <c r="AL107" s="646"/>
      <c r="AM107" s="646"/>
      <c r="AN107" s="646"/>
    </row>
    <row r="108" spans="2:40" x14ac:dyDescent="0.2">
      <c r="B108" s="248">
        <f t="shared" si="51"/>
        <v>0</v>
      </c>
      <c r="C108" s="200">
        <f t="shared" ref="C108:D108" si="66">C79</f>
        <v>1.3750000000000004</v>
      </c>
      <c r="D108" s="200">
        <f t="shared" si="66"/>
        <v>1.4166666666666672</v>
      </c>
      <c r="E108" s="201">
        <v>16</v>
      </c>
      <c r="F108" s="202" t="s">
        <v>340</v>
      </c>
      <c r="G108" s="203" t="s">
        <v>358</v>
      </c>
      <c r="H108" s="646"/>
      <c r="I108" s="646"/>
      <c r="J108" s="646"/>
      <c r="K108" s="646"/>
      <c r="L108" s="646"/>
      <c r="M108" s="646"/>
      <c r="N108" s="646"/>
      <c r="O108" s="646"/>
      <c r="P108" s="646"/>
      <c r="Q108" s="646"/>
      <c r="R108" s="646"/>
      <c r="S108" s="646"/>
      <c r="T108" s="646"/>
      <c r="U108" s="646"/>
      <c r="V108" s="646"/>
      <c r="W108" s="646"/>
      <c r="X108" s="646"/>
      <c r="Y108" s="646"/>
      <c r="Z108" s="646"/>
      <c r="AA108" s="646"/>
      <c r="AB108" s="646"/>
      <c r="AC108" s="646"/>
      <c r="AD108" s="646"/>
      <c r="AE108" s="646"/>
      <c r="AF108" s="646"/>
      <c r="AG108" s="646"/>
      <c r="AH108" s="646"/>
      <c r="AI108" s="646"/>
      <c r="AJ108" s="646"/>
      <c r="AK108" s="646"/>
      <c r="AL108" s="646"/>
      <c r="AM108" s="646"/>
      <c r="AN108" s="646"/>
    </row>
    <row r="109" spans="2:40" x14ac:dyDescent="0.2">
      <c r="B109" s="248">
        <f t="shared" si="51"/>
        <v>0</v>
      </c>
      <c r="C109" s="200">
        <f t="shared" ref="C109:D109" si="67">C80</f>
        <v>1.4166666666666672</v>
      </c>
      <c r="D109" s="200">
        <f t="shared" si="67"/>
        <v>1.4583333333333339</v>
      </c>
      <c r="E109" s="201">
        <v>17</v>
      </c>
      <c r="F109" s="202" t="s">
        <v>340</v>
      </c>
      <c r="G109" s="203" t="s">
        <v>358</v>
      </c>
      <c r="H109" s="646"/>
      <c r="I109" s="646"/>
      <c r="J109" s="646"/>
      <c r="K109" s="646"/>
      <c r="L109" s="646"/>
      <c r="M109" s="646"/>
      <c r="N109" s="646"/>
      <c r="O109" s="646"/>
      <c r="P109" s="646"/>
      <c r="Q109" s="646"/>
      <c r="R109" s="646"/>
      <c r="S109" s="646"/>
      <c r="T109" s="646"/>
      <c r="U109" s="646"/>
      <c r="V109" s="646"/>
      <c r="W109" s="646"/>
      <c r="X109" s="646"/>
      <c r="Y109" s="646"/>
      <c r="Z109" s="646"/>
      <c r="AA109" s="646"/>
      <c r="AB109" s="646"/>
      <c r="AC109" s="646"/>
      <c r="AD109" s="646"/>
      <c r="AE109" s="646"/>
      <c r="AF109" s="646"/>
      <c r="AG109" s="646"/>
      <c r="AH109" s="646"/>
      <c r="AI109" s="646"/>
      <c r="AJ109" s="646"/>
      <c r="AK109" s="646"/>
      <c r="AL109" s="646"/>
      <c r="AM109" s="646"/>
      <c r="AN109" s="646"/>
    </row>
    <row r="110" spans="2:40" x14ac:dyDescent="0.2">
      <c r="B110" s="248">
        <f t="shared" si="51"/>
        <v>0</v>
      </c>
      <c r="C110" s="200">
        <f t="shared" ref="C110:D110" si="68">C81</f>
        <v>1.4583333333333339</v>
      </c>
      <c r="D110" s="200">
        <f t="shared" si="68"/>
        <v>1.5000000000000007</v>
      </c>
      <c r="E110" s="201">
        <v>18</v>
      </c>
      <c r="F110" s="202" t="s">
        <v>340</v>
      </c>
      <c r="G110" s="203" t="s">
        <v>358</v>
      </c>
      <c r="H110" s="646"/>
      <c r="I110" s="646"/>
      <c r="J110" s="646"/>
      <c r="K110" s="646"/>
      <c r="L110" s="646"/>
      <c r="M110" s="646"/>
      <c r="N110" s="646"/>
      <c r="O110" s="646"/>
      <c r="P110" s="646"/>
      <c r="Q110" s="646"/>
      <c r="R110" s="646"/>
      <c r="S110" s="646"/>
      <c r="T110" s="646"/>
      <c r="U110" s="646"/>
      <c r="V110" s="646"/>
      <c r="W110" s="646"/>
      <c r="X110" s="646"/>
      <c r="Y110" s="646"/>
      <c r="Z110" s="646"/>
      <c r="AA110" s="646"/>
      <c r="AB110" s="646"/>
      <c r="AC110" s="646"/>
      <c r="AD110" s="646"/>
      <c r="AE110" s="646"/>
      <c r="AF110" s="646"/>
      <c r="AG110" s="646"/>
      <c r="AH110" s="646"/>
      <c r="AI110" s="646"/>
      <c r="AJ110" s="646"/>
      <c r="AK110" s="646"/>
      <c r="AL110" s="646"/>
      <c r="AM110" s="646"/>
      <c r="AN110" s="646"/>
    </row>
    <row r="111" spans="2:40" x14ac:dyDescent="0.2">
      <c r="B111" s="248">
        <f t="shared" si="51"/>
        <v>0</v>
      </c>
      <c r="C111" s="200">
        <f t="shared" ref="C111:D111" si="69">C82</f>
        <v>1.5000000000000007</v>
      </c>
      <c r="D111" s="200">
        <f t="shared" si="69"/>
        <v>1.5416666666666674</v>
      </c>
      <c r="E111" s="201">
        <v>19</v>
      </c>
      <c r="F111" s="202" t="s">
        <v>340</v>
      </c>
      <c r="G111" s="203" t="s">
        <v>358</v>
      </c>
      <c r="H111" s="646"/>
      <c r="I111" s="646"/>
      <c r="J111" s="646"/>
      <c r="K111" s="646"/>
      <c r="L111" s="646"/>
      <c r="M111" s="646"/>
      <c r="N111" s="646"/>
      <c r="O111" s="646"/>
      <c r="P111" s="646"/>
      <c r="Q111" s="646"/>
      <c r="R111" s="646"/>
      <c r="S111" s="646"/>
      <c r="T111" s="646"/>
      <c r="U111" s="646"/>
      <c r="V111" s="646"/>
      <c r="W111" s="646"/>
      <c r="X111" s="646"/>
      <c r="Y111" s="646"/>
      <c r="Z111" s="646"/>
      <c r="AA111" s="646"/>
      <c r="AB111" s="646"/>
      <c r="AC111" s="646"/>
      <c r="AD111" s="646"/>
      <c r="AE111" s="646"/>
      <c r="AF111" s="646"/>
      <c r="AG111" s="646"/>
      <c r="AH111" s="646"/>
      <c r="AI111" s="646"/>
      <c r="AJ111" s="646"/>
      <c r="AK111" s="646"/>
      <c r="AL111" s="646"/>
      <c r="AM111" s="646"/>
      <c r="AN111" s="646"/>
    </row>
    <row r="112" spans="2:40" x14ac:dyDescent="0.2">
      <c r="B112" s="248">
        <f t="shared" si="51"/>
        <v>0</v>
      </c>
      <c r="C112" s="200">
        <f t="shared" ref="C112:D112" si="70">C83</f>
        <v>1.5416666666666674</v>
      </c>
      <c r="D112" s="200">
        <f t="shared" si="70"/>
        <v>1.5833333333333341</v>
      </c>
      <c r="E112" s="201">
        <v>20</v>
      </c>
      <c r="F112" s="202" t="s">
        <v>340</v>
      </c>
      <c r="G112" s="203" t="s">
        <v>358</v>
      </c>
      <c r="H112" s="646"/>
      <c r="I112" s="646"/>
      <c r="J112" s="646"/>
      <c r="K112" s="646"/>
      <c r="L112" s="646"/>
      <c r="M112" s="646"/>
      <c r="N112" s="646"/>
      <c r="O112" s="646"/>
      <c r="P112" s="646"/>
      <c r="Q112" s="646"/>
      <c r="R112" s="646"/>
      <c r="S112" s="646"/>
      <c r="T112" s="646"/>
      <c r="U112" s="646"/>
      <c r="V112" s="646"/>
      <c r="W112" s="646"/>
      <c r="X112" s="646"/>
      <c r="Y112" s="646"/>
      <c r="Z112" s="646"/>
      <c r="AA112" s="646"/>
      <c r="AB112" s="646"/>
      <c r="AC112" s="646"/>
      <c r="AD112" s="646"/>
      <c r="AE112" s="646"/>
      <c r="AF112" s="646"/>
      <c r="AG112" s="646"/>
      <c r="AH112" s="646"/>
      <c r="AI112" s="646"/>
      <c r="AJ112" s="646"/>
      <c r="AK112" s="646"/>
      <c r="AL112" s="646"/>
      <c r="AM112" s="646"/>
      <c r="AN112" s="646"/>
    </row>
    <row r="113" spans="2:40" x14ac:dyDescent="0.2">
      <c r="B113" s="248">
        <f t="shared" si="51"/>
        <v>0</v>
      </c>
      <c r="C113" s="200">
        <f t="shared" ref="C113:D113" si="71">C84</f>
        <v>1.5833333333333341</v>
      </c>
      <c r="D113" s="200">
        <f t="shared" si="71"/>
        <v>1.6250000000000009</v>
      </c>
      <c r="E113" s="201">
        <v>21</v>
      </c>
      <c r="F113" s="202" t="s">
        <v>340</v>
      </c>
      <c r="G113" s="203" t="s">
        <v>358</v>
      </c>
      <c r="H113" s="646"/>
      <c r="I113" s="646"/>
      <c r="J113" s="646"/>
      <c r="K113" s="646"/>
      <c r="L113" s="646"/>
      <c r="M113" s="646"/>
      <c r="N113" s="646"/>
      <c r="O113" s="646"/>
      <c r="P113" s="646"/>
      <c r="Q113" s="646"/>
      <c r="R113" s="646"/>
      <c r="S113" s="646"/>
      <c r="T113" s="646"/>
      <c r="U113" s="646"/>
      <c r="V113" s="646"/>
      <c r="W113" s="646"/>
      <c r="X113" s="646"/>
      <c r="Y113" s="646"/>
      <c r="Z113" s="646"/>
      <c r="AA113" s="646"/>
      <c r="AB113" s="646"/>
      <c r="AC113" s="646"/>
      <c r="AD113" s="646"/>
      <c r="AE113" s="646"/>
      <c r="AF113" s="646"/>
      <c r="AG113" s="646"/>
      <c r="AH113" s="646"/>
      <c r="AI113" s="646"/>
      <c r="AJ113" s="646"/>
      <c r="AK113" s="646"/>
      <c r="AL113" s="646"/>
      <c r="AM113" s="646"/>
      <c r="AN113" s="646"/>
    </row>
    <row r="114" spans="2:40" x14ac:dyDescent="0.2">
      <c r="B114" s="248">
        <f t="shared" si="51"/>
        <v>0</v>
      </c>
      <c r="C114" s="200">
        <f t="shared" ref="C114:D114" si="72">C85</f>
        <v>1.6250000000000009</v>
      </c>
      <c r="D114" s="200">
        <f t="shared" si="72"/>
        <v>1.6666666666666676</v>
      </c>
      <c r="E114" s="201">
        <v>22</v>
      </c>
      <c r="F114" s="202" t="s">
        <v>340</v>
      </c>
      <c r="G114" s="203" t="s">
        <v>358</v>
      </c>
      <c r="H114" s="646"/>
      <c r="I114" s="646"/>
      <c r="J114" s="646"/>
      <c r="K114" s="646"/>
      <c r="L114" s="646"/>
      <c r="M114" s="646"/>
      <c r="N114" s="646"/>
      <c r="O114" s="646"/>
      <c r="P114" s="646"/>
      <c r="Q114" s="646"/>
      <c r="R114" s="646"/>
      <c r="S114" s="646"/>
      <c r="T114" s="646"/>
      <c r="U114" s="646"/>
      <c r="V114" s="646"/>
      <c r="W114" s="646"/>
      <c r="X114" s="646"/>
      <c r="Y114" s="646"/>
      <c r="Z114" s="646"/>
      <c r="AA114" s="646"/>
      <c r="AB114" s="646"/>
      <c r="AC114" s="646"/>
      <c r="AD114" s="646"/>
      <c r="AE114" s="646"/>
      <c r="AF114" s="646"/>
      <c r="AG114" s="646"/>
      <c r="AH114" s="646"/>
      <c r="AI114" s="646"/>
      <c r="AJ114" s="646"/>
      <c r="AK114" s="646"/>
      <c r="AL114" s="646"/>
      <c r="AM114" s="646"/>
      <c r="AN114" s="646"/>
    </row>
    <row r="115" spans="2:40" x14ac:dyDescent="0.2">
      <c r="B115" s="248">
        <f t="shared" si="51"/>
        <v>0</v>
      </c>
      <c r="C115" s="200">
        <f t="shared" ref="C115:D115" si="73">C86</f>
        <v>1.6666666666666676</v>
      </c>
      <c r="D115" s="200">
        <f t="shared" si="73"/>
        <v>1.7083333333333344</v>
      </c>
      <c r="E115" s="201">
        <v>23</v>
      </c>
      <c r="F115" s="202" t="s">
        <v>340</v>
      </c>
      <c r="G115" s="203" t="s">
        <v>358</v>
      </c>
      <c r="H115" s="646"/>
      <c r="I115" s="646"/>
      <c r="J115" s="646"/>
      <c r="K115" s="646"/>
      <c r="L115" s="646"/>
      <c r="M115" s="646"/>
      <c r="N115" s="646"/>
      <c r="O115" s="646"/>
      <c r="P115" s="646"/>
      <c r="Q115" s="646"/>
      <c r="R115" s="646"/>
      <c r="S115" s="646"/>
      <c r="T115" s="646"/>
      <c r="U115" s="646"/>
      <c r="V115" s="646"/>
      <c r="W115" s="646"/>
      <c r="X115" s="646"/>
      <c r="Y115" s="646"/>
      <c r="Z115" s="646"/>
      <c r="AA115" s="646"/>
      <c r="AB115" s="646"/>
      <c r="AC115" s="646"/>
      <c r="AD115" s="646"/>
      <c r="AE115" s="646"/>
      <c r="AF115" s="646"/>
      <c r="AG115" s="646"/>
      <c r="AH115" s="646"/>
      <c r="AI115" s="646"/>
      <c r="AJ115" s="646"/>
      <c r="AK115" s="646"/>
      <c r="AL115" s="646"/>
      <c r="AM115" s="646"/>
      <c r="AN115" s="646"/>
    </row>
    <row r="116" spans="2:40" x14ac:dyDescent="0.2">
      <c r="B116" s="248">
        <f t="shared" si="51"/>
        <v>0</v>
      </c>
      <c r="C116" s="200">
        <f t="shared" ref="C116:D116" si="74">C87</f>
        <v>1.7083333333333344</v>
      </c>
      <c r="D116" s="200">
        <f t="shared" si="74"/>
        <v>1.7500000000000011</v>
      </c>
      <c r="E116" s="201">
        <v>24</v>
      </c>
      <c r="F116" s="202" t="s">
        <v>361</v>
      </c>
      <c r="G116" s="203" t="s">
        <v>358</v>
      </c>
      <c r="H116" s="646"/>
      <c r="I116" s="646"/>
      <c r="J116" s="646"/>
      <c r="K116" s="646"/>
      <c r="L116" s="646"/>
      <c r="M116" s="646"/>
      <c r="N116" s="646"/>
      <c r="O116" s="646"/>
      <c r="P116" s="646"/>
      <c r="Q116" s="646"/>
      <c r="R116" s="646"/>
      <c r="S116" s="646"/>
      <c r="T116" s="646"/>
      <c r="U116" s="646"/>
      <c r="V116" s="646"/>
      <c r="W116" s="646"/>
      <c r="X116" s="646"/>
      <c r="Y116" s="646"/>
      <c r="Z116" s="646"/>
      <c r="AA116" s="646"/>
      <c r="AB116" s="646"/>
      <c r="AC116" s="646"/>
      <c r="AD116" s="646"/>
      <c r="AE116" s="646"/>
      <c r="AF116" s="646"/>
      <c r="AG116" s="646"/>
      <c r="AH116" s="646"/>
      <c r="AI116" s="646"/>
      <c r="AJ116" s="646"/>
      <c r="AK116" s="646"/>
      <c r="AL116" s="646"/>
      <c r="AM116" s="646"/>
      <c r="AN116" s="646"/>
    </row>
  </sheetData>
  <mergeCells count="12">
    <mergeCell ref="C92:D92"/>
    <mergeCell ref="C34:D34"/>
    <mergeCell ref="C63:D63"/>
    <mergeCell ref="C60:D62"/>
    <mergeCell ref="E60:G62"/>
    <mergeCell ref="C89:D91"/>
    <mergeCell ref="E89:G91"/>
    <mergeCell ref="C5:D5"/>
    <mergeCell ref="E2:G4"/>
    <mergeCell ref="C2:D4"/>
    <mergeCell ref="C31:D33"/>
    <mergeCell ref="E31:G33"/>
  </mergeCells>
  <conditionalFormatting sqref="F6:F29">
    <cfRule type="cellIs" dxfId="97" priority="19" operator="equal">
      <formula>"I"</formula>
    </cfRule>
    <cfRule type="cellIs" dxfId="96" priority="20" operator="equal">
      <formula>"FP"</formula>
    </cfRule>
    <cfRule type="cellIs" dxfId="95" priority="21" operator="equal">
      <formula>"P"</formula>
    </cfRule>
  </conditionalFormatting>
  <conditionalFormatting sqref="G35:G58">
    <cfRule type="cellIs" dxfId="94" priority="13" operator="equal">
      <formula>"DP1"</formula>
    </cfRule>
    <cfRule type="cellIs" dxfId="93" priority="17" operator="equal">
      <formula>"P"</formula>
    </cfRule>
  </conditionalFormatting>
  <conditionalFormatting sqref="F35:F58">
    <cfRule type="cellIs" dxfId="92" priority="14" operator="equal">
      <formula>"I"</formula>
    </cfRule>
    <cfRule type="cellIs" dxfId="91" priority="15" operator="equal">
      <formula>"FP"</formula>
    </cfRule>
    <cfRule type="cellIs" dxfId="90" priority="16" operator="equal">
      <formula>"P"</formula>
    </cfRule>
  </conditionalFormatting>
  <conditionalFormatting sqref="G64:G87">
    <cfRule type="cellIs" dxfId="89" priority="8" operator="equal">
      <formula>"DP1"</formula>
    </cfRule>
    <cfRule type="cellIs" dxfId="88" priority="12" operator="equal">
      <formula>"P"</formula>
    </cfRule>
  </conditionalFormatting>
  <conditionalFormatting sqref="F64:F87">
    <cfRule type="cellIs" dxfId="87" priority="9" operator="equal">
      <formula>"I"</formula>
    </cfRule>
    <cfRule type="cellIs" dxfId="86" priority="10" operator="equal">
      <formula>"FP"</formula>
    </cfRule>
    <cfRule type="cellIs" dxfId="85" priority="11" operator="equal">
      <formula>"P"</formula>
    </cfRule>
  </conditionalFormatting>
  <conditionalFormatting sqref="G93:G116">
    <cfRule type="cellIs" dxfId="84" priority="3" operator="equal">
      <formula>"DP1"</formula>
    </cfRule>
    <cfRule type="cellIs" dxfId="83" priority="7" operator="equal">
      <formula>"P"</formula>
    </cfRule>
  </conditionalFormatting>
  <conditionalFormatting sqref="F93:F116">
    <cfRule type="cellIs" dxfId="82" priority="4" operator="equal">
      <formula>"I"</formula>
    </cfRule>
    <cfRule type="cellIs" dxfId="81" priority="5" operator="equal">
      <formula>"FP"</formula>
    </cfRule>
    <cfRule type="cellIs" dxfId="80" priority="6" operator="equal">
      <formula>"P"</formula>
    </cfRule>
  </conditionalFormatting>
  <conditionalFormatting sqref="G6:G29">
    <cfRule type="cellIs" dxfId="79" priority="1" operator="equal">
      <formula>"DP1"</formula>
    </cfRule>
    <cfRule type="cellIs" dxfId="78" priority="2" operator="equal">
      <formula>"P"</formula>
    </cfRule>
  </conditionalFormatting>
  <dataValidations count="1">
    <dataValidation type="list" allowBlank="1" showInputMessage="1" showErrorMessage="1" sqref="F6:F29 F35:F58 F64:F87 F93:F116" xr:uid="{00000000-0002-0000-0A00-000000000000}">
      <formula1>"P,FP,I"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E1B-1821-4717-B8FC-DE2CCB6C8A86}">
  <dimension ref="A1:R42"/>
  <sheetViews>
    <sheetView showGridLines="0" workbookViewId="0">
      <selection activeCell="C3" sqref="C3:R42"/>
    </sheetView>
  </sheetViews>
  <sheetFormatPr defaultRowHeight="11.25" x14ac:dyDescent="0.25"/>
  <cols>
    <col min="1" max="16384" width="9.140625" style="251"/>
  </cols>
  <sheetData>
    <row r="1" spans="1:18" x14ac:dyDescent="0.25">
      <c r="C1" s="625" t="s">
        <v>665</v>
      </c>
      <c r="D1" s="625" t="s">
        <v>665</v>
      </c>
      <c r="E1" s="625" t="s">
        <v>665</v>
      </c>
      <c r="F1" s="625" t="s">
        <v>665</v>
      </c>
      <c r="G1" s="625" t="s">
        <v>665</v>
      </c>
      <c r="H1" s="625" t="s">
        <v>665</v>
      </c>
      <c r="I1" s="625" t="s">
        <v>665</v>
      </c>
      <c r="J1" s="625" t="s">
        <v>665</v>
      </c>
      <c r="K1" s="625" t="s">
        <v>665</v>
      </c>
      <c r="L1" s="625" t="s">
        <v>665</v>
      </c>
      <c r="M1" s="625" t="s">
        <v>666</v>
      </c>
      <c r="N1" s="625" t="s">
        <v>666</v>
      </c>
      <c r="O1" s="625" t="s">
        <v>666</v>
      </c>
      <c r="P1" s="625" t="s">
        <v>666</v>
      </c>
      <c r="Q1" s="625" t="s">
        <v>3606</v>
      </c>
      <c r="R1" s="625" t="s">
        <v>3607</v>
      </c>
    </row>
    <row r="2" spans="1:18" x14ac:dyDescent="0.25">
      <c r="C2" s="625" t="s">
        <v>394</v>
      </c>
      <c r="D2" s="625" t="s">
        <v>395</v>
      </c>
      <c r="E2" s="625" t="s">
        <v>396</v>
      </c>
      <c r="F2" s="625" t="s">
        <v>397</v>
      </c>
      <c r="G2" s="625" t="s">
        <v>398</v>
      </c>
      <c r="H2" s="625" t="s">
        <v>399</v>
      </c>
      <c r="I2" s="625" t="s">
        <v>400</v>
      </c>
      <c r="J2" s="625" t="s">
        <v>401</v>
      </c>
      <c r="K2" s="625" t="s">
        <v>402</v>
      </c>
      <c r="L2" s="625" t="s">
        <v>403</v>
      </c>
      <c r="M2" s="625" t="s">
        <v>390</v>
      </c>
      <c r="N2" s="625" t="s">
        <v>391</v>
      </c>
      <c r="O2" s="625" t="s">
        <v>392</v>
      </c>
      <c r="P2" s="625" t="s">
        <v>393</v>
      </c>
      <c r="Q2" s="625" t="s">
        <v>404</v>
      </c>
      <c r="R2" s="625" t="s">
        <v>389</v>
      </c>
    </row>
    <row r="3" spans="1:18" x14ac:dyDescent="0.25">
      <c r="A3" s="625" t="s">
        <v>160</v>
      </c>
      <c r="B3" s="625" t="s">
        <v>362</v>
      </c>
      <c r="C3" s="626">
        <v>0.20433000000000001</v>
      </c>
      <c r="D3" s="626">
        <v>6.7400000000000003E-3</v>
      </c>
      <c r="E3" s="626">
        <v>9.8200000000000006E-3</v>
      </c>
      <c r="F3" s="626">
        <v>0</v>
      </c>
      <c r="G3" s="626">
        <v>3.9350000000000003E-2</v>
      </c>
      <c r="H3" s="626">
        <v>0.13597000000000001</v>
      </c>
      <c r="I3" s="626">
        <v>0</v>
      </c>
      <c r="J3" s="626">
        <v>0</v>
      </c>
      <c r="K3" s="626">
        <v>4.5109999999999997E-2</v>
      </c>
      <c r="L3" s="626">
        <v>4.8959999999999997E-2</v>
      </c>
      <c r="M3" s="626">
        <v>5.901E-2</v>
      </c>
      <c r="N3" s="626">
        <v>2.12E-2</v>
      </c>
      <c r="O3" s="626">
        <v>8.0909999999999996E-2</v>
      </c>
      <c r="P3" s="626">
        <v>6.2799999999999995E-2</v>
      </c>
      <c r="Q3" s="626">
        <v>7.7999999999999996E-3</v>
      </c>
      <c r="R3" s="626">
        <v>7.7999999999999996E-3</v>
      </c>
    </row>
    <row r="4" spans="1:18" x14ac:dyDescent="0.25">
      <c r="A4" s="625" t="s">
        <v>160</v>
      </c>
      <c r="B4" s="625" t="s">
        <v>357</v>
      </c>
      <c r="C4" s="626">
        <v>0</v>
      </c>
      <c r="D4" s="626">
        <v>3.2200000000000002E-3</v>
      </c>
      <c r="E4" s="626">
        <v>0.27683999999999997</v>
      </c>
      <c r="F4" s="626">
        <v>0.27328999999999998</v>
      </c>
      <c r="G4" s="626">
        <v>0</v>
      </c>
      <c r="H4" s="626">
        <v>0</v>
      </c>
      <c r="I4" s="626">
        <v>4.1570000000000003E-2</v>
      </c>
      <c r="J4" s="626">
        <v>0</v>
      </c>
      <c r="K4" s="626">
        <v>6.6559999999999994E-2</v>
      </c>
      <c r="L4" s="626">
        <v>0</v>
      </c>
      <c r="M4" s="626">
        <v>4.4650000000000002E-2</v>
      </c>
      <c r="N4" s="626">
        <v>3.721E-2</v>
      </c>
      <c r="O4" s="626">
        <v>0</v>
      </c>
      <c r="P4" s="626">
        <v>0</v>
      </c>
      <c r="Q4" s="626">
        <v>4.224E-2</v>
      </c>
      <c r="R4" s="626">
        <v>4.224E-2</v>
      </c>
    </row>
    <row r="5" spans="1:18" x14ac:dyDescent="0.25">
      <c r="A5" s="625" t="s">
        <v>160</v>
      </c>
      <c r="B5" s="625" t="s">
        <v>363</v>
      </c>
      <c r="C5" s="626">
        <v>0</v>
      </c>
      <c r="D5" s="626">
        <v>3.2000000000000002E-3</v>
      </c>
      <c r="E5" s="626">
        <v>0</v>
      </c>
      <c r="F5" s="626">
        <v>0</v>
      </c>
      <c r="G5" s="626">
        <v>0</v>
      </c>
      <c r="H5" s="626">
        <v>0.14005999999999999</v>
      </c>
      <c r="I5" s="626">
        <v>0</v>
      </c>
      <c r="J5" s="626">
        <v>0</v>
      </c>
      <c r="K5" s="626">
        <v>0</v>
      </c>
      <c r="L5" s="626">
        <v>0</v>
      </c>
      <c r="M5" s="626">
        <v>1.8849999999999999E-2</v>
      </c>
      <c r="N5" s="626">
        <v>0</v>
      </c>
      <c r="O5" s="626">
        <v>6.4930000000000002E-2</v>
      </c>
      <c r="P5" s="626">
        <v>4.4249999999999998E-2</v>
      </c>
      <c r="Q5" s="626">
        <v>2.15E-3</v>
      </c>
      <c r="R5" s="626">
        <v>2.15E-3</v>
      </c>
    </row>
    <row r="6" spans="1:18" x14ac:dyDescent="0.25">
      <c r="A6" s="625" t="s">
        <v>160</v>
      </c>
      <c r="B6" s="625" t="s">
        <v>364</v>
      </c>
      <c r="C6" s="626">
        <v>0</v>
      </c>
      <c r="D6" s="626">
        <v>0</v>
      </c>
      <c r="E6" s="626">
        <v>0</v>
      </c>
      <c r="F6" s="626">
        <v>0</v>
      </c>
      <c r="G6" s="626">
        <v>0</v>
      </c>
      <c r="H6" s="626">
        <v>0</v>
      </c>
      <c r="I6" s="626">
        <v>0.14011000000000001</v>
      </c>
      <c r="J6" s="626">
        <v>0</v>
      </c>
      <c r="K6" s="626">
        <v>0</v>
      </c>
      <c r="L6" s="626">
        <v>0.74509000000000003</v>
      </c>
      <c r="M6" s="626">
        <v>3.9199999999999999E-3</v>
      </c>
      <c r="N6" s="626">
        <v>5.3449999999999998E-2</v>
      </c>
      <c r="O6" s="626">
        <v>0</v>
      </c>
      <c r="P6" s="626">
        <v>0</v>
      </c>
      <c r="Q6" s="626">
        <v>2.0459999999999999E-2</v>
      </c>
      <c r="R6" s="626">
        <v>2.0459999999999999E-2</v>
      </c>
    </row>
    <row r="7" spans="1:18" x14ac:dyDescent="0.25">
      <c r="A7" s="625" t="s">
        <v>160</v>
      </c>
      <c r="B7" s="625" t="s">
        <v>365</v>
      </c>
      <c r="C7" s="626">
        <v>0</v>
      </c>
      <c r="D7" s="626">
        <v>0</v>
      </c>
      <c r="E7" s="626">
        <v>0</v>
      </c>
      <c r="F7" s="626">
        <v>0</v>
      </c>
      <c r="G7" s="626">
        <v>0</v>
      </c>
      <c r="H7" s="626">
        <v>0.10711</v>
      </c>
      <c r="I7" s="626">
        <v>0</v>
      </c>
      <c r="J7" s="626">
        <v>0</v>
      </c>
      <c r="K7" s="626">
        <v>0</v>
      </c>
      <c r="L7" s="626">
        <v>0</v>
      </c>
      <c r="M7" s="626">
        <v>1.413E-2</v>
      </c>
      <c r="N7" s="626">
        <v>0</v>
      </c>
      <c r="O7" s="626">
        <v>4.9660000000000003E-2</v>
      </c>
      <c r="P7" s="626">
        <v>3.3840000000000002E-2</v>
      </c>
      <c r="Q7" s="626">
        <v>0</v>
      </c>
      <c r="R7" s="626">
        <v>0</v>
      </c>
    </row>
    <row r="8" spans="1:18" x14ac:dyDescent="0.25">
      <c r="A8" s="625" t="s">
        <v>160</v>
      </c>
      <c r="B8" s="625" t="s">
        <v>366</v>
      </c>
      <c r="C8" s="626">
        <v>0.18457999999999999</v>
      </c>
      <c r="D8" s="626">
        <v>0</v>
      </c>
      <c r="E8" s="626">
        <v>0</v>
      </c>
      <c r="F8" s="626">
        <v>0</v>
      </c>
      <c r="G8" s="626">
        <v>0</v>
      </c>
      <c r="H8" s="626">
        <v>0</v>
      </c>
      <c r="I8" s="626">
        <v>0</v>
      </c>
      <c r="J8" s="626">
        <v>0</v>
      </c>
      <c r="K8" s="626">
        <v>0</v>
      </c>
      <c r="L8" s="626">
        <v>0</v>
      </c>
      <c r="M8" s="626">
        <v>3.3259999999999998E-2</v>
      </c>
      <c r="N8" s="626">
        <v>1.7309999999999999E-2</v>
      </c>
      <c r="O8" s="626">
        <v>1.6140000000000002E-2</v>
      </c>
      <c r="P8" s="626">
        <v>1.7930000000000001E-2</v>
      </c>
      <c r="Q8" s="626">
        <v>0</v>
      </c>
      <c r="R8" s="626">
        <v>0</v>
      </c>
    </row>
    <row r="9" spans="1:18" x14ac:dyDescent="0.25">
      <c r="A9" s="625" t="s">
        <v>160</v>
      </c>
      <c r="B9" s="625" t="s">
        <v>367</v>
      </c>
      <c r="C9" s="626">
        <v>0</v>
      </c>
      <c r="D9" s="626">
        <v>0</v>
      </c>
      <c r="E9" s="626">
        <v>0</v>
      </c>
      <c r="F9" s="626">
        <v>0</v>
      </c>
      <c r="G9" s="626">
        <v>0</v>
      </c>
      <c r="H9" s="626">
        <v>0</v>
      </c>
      <c r="I9" s="626">
        <v>0.17501</v>
      </c>
      <c r="J9" s="626">
        <v>0</v>
      </c>
      <c r="K9" s="626">
        <v>0</v>
      </c>
      <c r="L9" s="626">
        <v>0</v>
      </c>
      <c r="M9" s="626">
        <v>5.9000000000000003E-4</v>
      </c>
      <c r="N9" s="626">
        <v>6.6769999999999996E-2</v>
      </c>
      <c r="O9" s="626">
        <v>0</v>
      </c>
      <c r="P9" s="626">
        <v>0</v>
      </c>
      <c r="Q9" s="626">
        <v>5.9100000000000003E-3</v>
      </c>
      <c r="R9" s="626">
        <v>5.9100000000000003E-3</v>
      </c>
    </row>
    <row r="10" spans="1:18" x14ac:dyDescent="0.25">
      <c r="A10" s="625" t="s">
        <v>160</v>
      </c>
      <c r="B10" s="625" t="s">
        <v>368</v>
      </c>
      <c r="C10" s="626">
        <v>0</v>
      </c>
      <c r="D10" s="626">
        <v>1.916E-2</v>
      </c>
      <c r="E10" s="626">
        <v>0</v>
      </c>
      <c r="F10" s="626">
        <v>5.0750000000000003E-2</v>
      </c>
      <c r="G10" s="626">
        <v>0</v>
      </c>
      <c r="H10" s="626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9.58E-3</v>
      </c>
      <c r="N10" s="626">
        <v>3.4099999999999998E-3</v>
      </c>
      <c r="O10" s="626">
        <v>0</v>
      </c>
      <c r="P10" s="626">
        <v>0</v>
      </c>
      <c r="Q10" s="626">
        <v>1.285E-2</v>
      </c>
      <c r="R10" s="626">
        <v>1.285E-2</v>
      </c>
    </row>
    <row r="11" spans="1:18" x14ac:dyDescent="0.25">
      <c r="A11" s="625" t="s">
        <v>160</v>
      </c>
      <c r="B11" s="625" t="s">
        <v>369</v>
      </c>
      <c r="C11" s="626">
        <v>0</v>
      </c>
      <c r="D11" s="626">
        <v>0</v>
      </c>
      <c r="E11" s="626">
        <v>0</v>
      </c>
      <c r="F11" s="626">
        <v>0</v>
      </c>
      <c r="G11" s="626">
        <v>0.22564000000000001</v>
      </c>
      <c r="H11" s="626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6">
        <v>0</v>
      </c>
      <c r="O11" s="626">
        <v>0</v>
      </c>
      <c r="P11" s="626">
        <v>0</v>
      </c>
      <c r="Q11" s="626">
        <v>5.0299999999999997E-3</v>
      </c>
      <c r="R11" s="626">
        <v>5.0299999999999997E-3</v>
      </c>
    </row>
    <row r="12" spans="1:18" x14ac:dyDescent="0.25">
      <c r="A12" s="625" t="s">
        <v>160</v>
      </c>
      <c r="B12" s="625" t="s">
        <v>370</v>
      </c>
      <c r="C12" s="626">
        <v>0</v>
      </c>
      <c r="D12" s="626">
        <v>0</v>
      </c>
      <c r="E12" s="626">
        <v>0</v>
      </c>
      <c r="F12" s="626">
        <v>0</v>
      </c>
      <c r="G12" s="626">
        <v>0.10853</v>
      </c>
      <c r="H12" s="626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6">
        <v>0</v>
      </c>
      <c r="O12" s="626">
        <v>0</v>
      </c>
      <c r="P12" s="626">
        <v>0</v>
      </c>
      <c r="Q12" s="626">
        <v>2.4199999999999998E-3</v>
      </c>
      <c r="R12" s="626">
        <v>2.4199999999999998E-3</v>
      </c>
    </row>
    <row r="13" spans="1:18" x14ac:dyDescent="0.25">
      <c r="A13" s="625" t="s">
        <v>160</v>
      </c>
      <c r="B13" s="625" t="s">
        <v>371</v>
      </c>
      <c r="C13" s="626">
        <v>0</v>
      </c>
      <c r="D13" s="626">
        <v>0</v>
      </c>
      <c r="E13" s="626">
        <v>0</v>
      </c>
      <c r="F13" s="626">
        <v>0</v>
      </c>
      <c r="G13" s="626">
        <v>0</v>
      </c>
      <c r="H13" s="626">
        <v>0</v>
      </c>
      <c r="I13" s="626">
        <v>4.462E-2</v>
      </c>
      <c r="J13" s="626">
        <v>0</v>
      </c>
      <c r="K13" s="626">
        <v>3.1210000000000002E-2</v>
      </c>
      <c r="L13" s="626">
        <v>0</v>
      </c>
      <c r="M13" s="626">
        <v>2.3900000000000002E-3</v>
      </c>
      <c r="N13" s="626">
        <v>1.8440000000000002E-2</v>
      </c>
      <c r="O13" s="626">
        <v>0</v>
      </c>
      <c r="P13" s="626">
        <v>0</v>
      </c>
      <c r="Q13" s="626">
        <v>1.5100000000000001E-3</v>
      </c>
      <c r="R13" s="626">
        <v>1.5100000000000001E-3</v>
      </c>
    </row>
    <row r="14" spans="1:18" x14ac:dyDescent="0.25">
      <c r="A14" s="625" t="s">
        <v>160</v>
      </c>
      <c r="B14" s="625" t="s">
        <v>372</v>
      </c>
      <c r="C14" s="626">
        <v>0</v>
      </c>
      <c r="D14" s="626">
        <v>0</v>
      </c>
      <c r="E14" s="626">
        <v>0</v>
      </c>
      <c r="F14" s="626">
        <v>0</v>
      </c>
      <c r="G14" s="626">
        <v>0</v>
      </c>
      <c r="H14" s="626">
        <v>0</v>
      </c>
      <c r="I14" s="626">
        <v>6.6629999999999995E-2</v>
      </c>
      <c r="J14" s="626">
        <v>0</v>
      </c>
      <c r="K14" s="626">
        <v>0</v>
      </c>
      <c r="L14" s="626">
        <v>0</v>
      </c>
      <c r="M14" s="626">
        <v>2.2000000000000001E-4</v>
      </c>
      <c r="N14" s="626">
        <v>2.5420000000000002E-2</v>
      </c>
      <c r="O14" s="626">
        <v>0</v>
      </c>
      <c r="P14" s="626">
        <v>0</v>
      </c>
      <c r="Q14" s="626">
        <v>2.2499999999999998E-3</v>
      </c>
      <c r="R14" s="626">
        <v>2.2499999999999998E-3</v>
      </c>
    </row>
    <row r="15" spans="1:18" x14ac:dyDescent="0.25">
      <c r="A15" s="625" t="s">
        <v>160</v>
      </c>
      <c r="B15" s="625" t="s">
        <v>373</v>
      </c>
      <c r="C15" s="626">
        <v>0</v>
      </c>
      <c r="D15" s="626">
        <v>0</v>
      </c>
      <c r="E15" s="626">
        <v>7.8829999999999997E-2</v>
      </c>
      <c r="F15" s="626">
        <v>0</v>
      </c>
      <c r="G15" s="626">
        <v>0</v>
      </c>
      <c r="H15" s="626">
        <v>0</v>
      </c>
      <c r="I15" s="626">
        <v>0</v>
      </c>
      <c r="J15" s="626">
        <v>0</v>
      </c>
      <c r="K15" s="626">
        <v>7.6800000000000002E-3</v>
      </c>
      <c r="L15" s="626">
        <v>0</v>
      </c>
      <c r="M15" s="626">
        <v>5.5000000000000003E-4</v>
      </c>
      <c r="N15" s="626">
        <v>3.5E-4</v>
      </c>
      <c r="O15" s="626">
        <v>0</v>
      </c>
      <c r="P15" s="626">
        <v>0</v>
      </c>
      <c r="Q15" s="626">
        <v>1.1010000000000001E-2</v>
      </c>
      <c r="R15" s="626">
        <v>1.1010000000000001E-2</v>
      </c>
    </row>
    <row r="16" spans="1:18" x14ac:dyDescent="0.25">
      <c r="A16" s="625" t="s">
        <v>160</v>
      </c>
      <c r="B16" s="625" t="s">
        <v>374</v>
      </c>
      <c r="C16" s="626">
        <v>0</v>
      </c>
      <c r="D16" s="626">
        <v>0</v>
      </c>
      <c r="E16" s="626">
        <v>2.5999999999999998E-4</v>
      </c>
      <c r="F16" s="626">
        <v>1.7739999999999999E-2</v>
      </c>
      <c r="G16" s="626">
        <v>0</v>
      </c>
      <c r="H16" s="626">
        <v>0</v>
      </c>
      <c r="I16" s="626">
        <v>0</v>
      </c>
      <c r="J16" s="626">
        <v>2.383E-2</v>
      </c>
      <c r="K16" s="626">
        <v>0</v>
      </c>
      <c r="L16" s="626">
        <v>0</v>
      </c>
      <c r="M16" s="626">
        <v>2.5500000000000002E-3</v>
      </c>
      <c r="N16" s="626">
        <v>1.1900000000000001E-3</v>
      </c>
      <c r="O16" s="626">
        <v>0</v>
      </c>
      <c r="P16" s="626">
        <v>0</v>
      </c>
      <c r="Q16" s="626">
        <v>1.5200000000000001E-3</v>
      </c>
      <c r="R16" s="626">
        <v>1.5200000000000001E-3</v>
      </c>
    </row>
    <row r="17" spans="1:18" x14ac:dyDescent="0.25">
      <c r="A17" s="625" t="s">
        <v>160</v>
      </c>
      <c r="B17" s="625" t="s">
        <v>375</v>
      </c>
      <c r="C17" s="626">
        <v>0</v>
      </c>
      <c r="D17" s="626">
        <v>6.8799999999999998E-3</v>
      </c>
      <c r="E17" s="626">
        <v>0</v>
      </c>
      <c r="F17" s="626">
        <v>0</v>
      </c>
      <c r="G17" s="626">
        <v>0</v>
      </c>
      <c r="H17" s="626">
        <v>0</v>
      </c>
      <c r="I17" s="626">
        <v>0</v>
      </c>
      <c r="J17" s="626">
        <v>0</v>
      </c>
      <c r="K17" s="626">
        <v>0</v>
      </c>
      <c r="L17" s="626">
        <v>0</v>
      </c>
      <c r="M17" s="626">
        <v>8.0999999999999996E-4</v>
      </c>
      <c r="N17" s="626">
        <v>0</v>
      </c>
      <c r="O17" s="626">
        <v>0</v>
      </c>
      <c r="P17" s="626">
        <v>0</v>
      </c>
      <c r="Q17" s="626">
        <v>4.62E-3</v>
      </c>
      <c r="R17" s="626">
        <v>4.62E-3</v>
      </c>
    </row>
    <row r="18" spans="1:18" x14ac:dyDescent="0.25">
      <c r="A18" s="625" t="s">
        <v>160</v>
      </c>
      <c r="B18" s="625" t="s">
        <v>376</v>
      </c>
      <c r="C18" s="626">
        <v>0</v>
      </c>
      <c r="D18" s="626">
        <v>0</v>
      </c>
      <c r="E18" s="626">
        <v>0</v>
      </c>
      <c r="F18" s="626">
        <v>0</v>
      </c>
      <c r="G18" s="626">
        <v>0</v>
      </c>
      <c r="H18" s="626">
        <v>0</v>
      </c>
      <c r="I18" s="626">
        <v>0</v>
      </c>
      <c r="J18" s="626">
        <v>0</v>
      </c>
      <c r="K18" s="626">
        <v>2E-3</v>
      </c>
      <c r="L18" s="626">
        <v>0</v>
      </c>
      <c r="M18" s="626">
        <v>1.3999999999999999E-4</v>
      </c>
      <c r="N18" s="626">
        <v>9.0000000000000006E-5</v>
      </c>
      <c r="O18" s="626">
        <v>0</v>
      </c>
      <c r="P18" s="626">
        <v>0</v>
      </c>
      <c r="Q18" s="626">
        <v>0</v>
      </c>
      <c r="R18" s="626">
        <v>0</v>
      </c>
    </row>
    <row r="19" spans="1:18" x14ac:dyDescent="0.25">
      <c r="A19" s="625" t="s">
        <v>160</v>
      </c>
      <c r="B19" s="625" t="s">
        <v>377</v>
      </c>
      <c r="C19" s="626">
        <v>0</v>
      </c>
      <c r="D19" s="626">
        <v>0</v>
      </c>
      <c r="E19" s="626">
        <v>0</v>
      </c>
      <c r="F19" s="626">
        <v>0</v>
      </c>
      <c r="G19" s="626">
        <v>0</v>
      </c>
      <c r="H19" s="626">
        <v>0</v>
      </c>
      <c r="I19" s="626">
        <v>2.7E-4</v>
      </c>
      <c r="J19" s="626">
        <v>0</v>
      </c>
      <c r="K19" s="626">
        <v>0</v>
      </c>
      <c r="L19" s="626">
        <v>0</v>
      </c>
      <c r="M19" s="626">
        <v>0</v>
      </c>
      <c r="N19" s="626">
        <v>1E-4</v>
      </c>
      <c r="O19" s="626">
        <v>0</v>
      </c>
      <c r="P19" s="626">
        <v>0</v>
      </c>
      <c r="Q19" s="626">
        <v>1.0000000000000001E-5</v>
      </c>
      <c r="R19" s="626">
        <v>1.0000000000000001E-5</v>
      </c>
    </row>
    <row r="20" spans="1:18" x14ac:dyDescent="0.25">
      <c r="A20" s="625" t="s">
        <v>160</v>
      </c>
      <c r="B20" s="625" t="s">
        <v>378</v>
      </c>
      <c r="C20" s="626">
        <v>0</v>
      </c>
      <c r="D20" s="626">
        <v>0</v>
      </c>
      <c r="E20" s="626">
        <v>0</v>
      </c>
      <c r="F20" s="626">
        <v>0</v>
      </c>
      <c r="G20" s="626">
        <v>0</v>
      </c>
      <c r="H20" s="626">
        <v>0</v>
      </c>
      <c r="I20" s="626">
        <v>0</v>
      </c>
      <c r="J20" s="626">
        <v>4.4400000000000004E-3</v>
      </c>
      <c r="K20" s="626">
        <v>0</v>
      </c>
      <c r="L20" s="626">
        <v>0</v>
      </c>
      <c r="M20" s="626">
        <v>0</v>
      </c>
      <c r="N20" s="626">
        <v>0</v>
      </c>
      <c r="O20" s="626">
        <v>0</v>
      </c>
      <c r="P20" s="626">
        <v>0</v>
      </c>
      <c r="Q20" s="626">
        <v>2.7999999999999998E-4</v>
      </c>
      <c r="R20" s="626">
        <v>2.7999999999999998E-4</v>
      </c>
    </row>
    <row r="21" spans="1:18" x14ac:dyDescent="0.25">
      <c r="A21" s="625" t="s">
        <v>160</v>
      </c>
      <c r="B21" s="625" t="s">
        <v>379</v>
      </c>
      <c r="C21" s="626">
        <v>0.14652999999999999</v>
      </c>
      <c r="D21" s="626">
        <v>0.1925</v>
      </c>
      <c r="E21" s="626">
        <v>0.34411999999999998</v>
      </c>
      <c r="F21" s="626">
        <v>3.4799999999999998E-2</v>
      </c>
      <c r="G21" s="626">
        <v>0.31839000000000001</v>
      </c>
      <c r="H21" s="626">
        <v>8.1189999999999998E-2</v>
      </c>
      <c r="I21" s="626">
        <v>0</v>
      </c>
      <c r="J21" s="626">
        <v>7.1739999999999998E-2</v>
      </c>
      <c r="K21" s="626">
        <v>0</v>
      </c>
      <c r="L21" s="626">
        <v>0</v>
      </c>
      <c r="M21" s="626">
        <v>6.4899999999999999E-2</v>
      </c>
      <c r="N21" s="626">
        <v>1.6080000000000001E-2</v>
      </c>
      <c r="O21" s="626">
        <v>5.0450000000000002E-2</v>
      </c>
      <c r="P21" s="626">
        <v>3.9879999999999999E-2</v>
      </c>
      <c r="Q21" s="626">
        <v>0.18876999999999999</v>
      </c>
      <c r="R21" s="626">
        <v>0.18876999999999999</v>
      </c>
    </row>
    <row r="22" spans="1:18" x14ac:dyDescent="0.25">
      <c r="A22" s="625" t="s">
        <v>160</v>
      </c>
      <c r="B22" s="625" t="s">
        <v>380</v>
      </c>
      <c r="C22" s="626">
        <v>2.827E-2</v>
      </c>
      <c r="D22" s="626">
        <v>2.2429999999999999E-2</v>
      </c>
      <c r="E22" s="626">
        <v>0</v>
      </c>
      <c r="F22" s="626">
        <v>0</v>
      </c>
      <c r="G22" s="626">
        <v>0</v>
      </c>
      <c r="H22" s="626">
        <v>0</v>
      </c>
      <c r="I22" s="626">
        <v>0.39055000000000001</v>
      </c>
      <c r="J22" s="626">
        <v>0</v>
      </c>
      <c r="K22" s="626">
        <v>5.6680000000000001E-2</v>
      </c>
      <c r="L22" s="626">
        <v>0</v>
      </c>
      <c r="M22" s="626">
        <v>1.3129999999999999E-2</v>
      </c>
      <c r="N22" s="626">
        <v>0.15422</v>
      </c>
      <c r="O22" s="626">
        <v>2.47E-3</v>
      </c>
      <c r="P22" s="626">
        <v>2.7499999999999998E-3</v>
      </c>
      <c r="Q22" s="626">
        <v>2.8240000000000001E-2</v>
      </c>
      <c r="R22" s="626">
        <v>2.8240000000000001E-2</v>
      </c>
    </row>
    <row r="23" spans="1:18" x14ac:dyDescent="0.25">
      <c r="A23" s="625" t="s">
        <v>160</v>
      </c>
      <c r="B23" s="625" t="s">
        <v>381</v>
      </c>
      <c r="C23" s="626">
        <v>0.14665</v>
      </c>
      <c r="D23" s="626">
        <v>0.13929</v>
      </c>
      <c r="E23" s="626">
        <v>0</v>
      </c>
      <c r="F23" s="626">
        <v>0</v>
      </c>
      <c r="G23" s="626">
        <v>9.3549999999999994E-2</v>
      </c>
      <c r="H23" s="626">
        <v>9.0690000000000007E-2</v>
      </c>
      <c r="I23" s="626">
        <v>0</v>
      </c>
      <c r="J23" s="626">
        <v>1.0410000000000001E-2</v>
      </c>
      <c r="K23" s="626">
        <v>9.7239999999999993E-2</v>
      </c>
      <c r="L23" s="626">
        <v>0</v>
      </c>
      <c r="M23" s="626">
        <v>6.1839999999999999E-2</v>
      </c>
      <c r="N23" s="626">
        <v>1.8159999999999999E-2</v>
      </c>
      <c r="O23" s="626">
        <v>5.4870000000000002E-2</v>
      </c>
      <c r="P23" s="626">
        <v>4.2889999999999998E-2</v>
      </c>
      <c r="Q23" s="626">
        <v>9.6170000000000005E-2</v>
      </c>
      <c r="R23" s="626">
        <v>9.6170000000000005E-2</v>
      </c>
    </row>
    <row r="24" spans="1:18" x14ac:dyDescent="0.25">
      <c r="A24" s="625" t="s">
        <v>160</v>
      </c>
      <c r="B24" s="625" t="s">
        <v>382</v>
      </c>
      <c r="C24" s="626">
        <v>1.6899999999999998E-2</v>
      </c>
      <c r="D24" s="626">
        <v>0.15861</v>
      </c>
      <c r="E24" s="626">
        <v>0.10034999999999999</v>
      </c>
      <c r="F24" s="626">
        <v>6.7610000000000003E-2</v>
      </c>
      <c r="G24" s="626">
        <v>3.7159999999999999E-2</v>
      </c>
      <c r="H24" s="626">
        <v>9.1939999999999994E-2</v>
      </c>
      <c r="I24" s="626">
        <v>0</v>
      </c>
      <c r="J24" s="626">
        <v>0.45236999999999999</v>
      </c>
      <c r="K24" s="626">
        <v>0</v>
      </c>
      <c r="L24" s="626">
        <v>0</v>
      </c>
      <c r="M24" s="626">
        <v>4.3679999999999997E-2</v>
      </c>
      <c r="N24" s="626">
        <v>6.1199999999999996E-3</v>
      </c>
      <c r="O24" s="626">
        <v>4.41E-2</v>
      </c>
      <c r="P24" s="626">
        <v>3.0689999999999999E-2</v>
      </c>
      <c r="Q24" s="626">
        <v>0.14946999999999999</v>
      </c>
      <c r="R24" s="626">
        <v>0.14946999999999999</v>
      </c>
    </row>
    <row r="25" spans="1:18" x14ac:dyDescent="0.25">
      <c r="A25" s="625" t="s">
        <v>160</v>
      </c>
      <c r="B25" s="625" t="s">
        <v>383</v>
      </c>
      <c r="C25" s="626">
        <v>0</v>
      </c>
      <c r="D25" s="626">
        <v>0.21167</v>
      </c>
      <c r="E25" s="626">
        <v>2.5149999999999999E-2</v>
      </c>
      <c r="F25" s="626">
        <v>0.21511</v>
      </c>
      <c r="G25" s="626">
        <v>0</v>
      </c>
      <c r="H25" s="626">
        <v>0.20654</v>
      </c>
      <c r="I25" s="626">
        <v>9.7000000000000005E-4</v>
      </c>
      <c r="J25" s="626">
        <v>0</v>
      </c>
      <c r="K25" s="626">
        <v>4.6469999999999997E-2</v>
      </c>
      <c r="L25" s="626">
        <v>7.3880000000000001E-2</v>
      </c>
      <c r="M25" s="626">
        <v>8.6940000000000003E-2</v>
      </c>
      <c r="N25" s="626">
        <v>1.6910000000000001E-2</v>
      </c>
      <c r="O25" s="626">
        <v>9.5750000000000002E-2</v>
      </c>
      <c r="P25" s="626">
        <v>6.5250000000000002E-2</v>
      </c>
      <c r="Q25" s="626">
        <v>0.14709</v>
      </c>
      <c r="R25" s="626">
        <v>0.14709</v>
      </c>
    </row>
    <row r="26" spans="1:18" x14ac:dyDescent="0.25">
      <c r="A26" s="625" t="s">
        <v>160</v>
      </c>
      <c r="B26" s="625" t="s">
        <v>384</v>
      </c>
      <c r="C26" s="626">
        <v>0</v>
      </c>
      <c r="D26" s="626">
        <v>7.4480000000000005E-2</v>
      </c>
      <c r="E26" s="626">
        <v>0</v>
      </c>
      <c r="F26" s="626">
        <v>4.3430000000000003E-2</v>
      </c>
      <c r="G26" s="626">
        <v>0</v>
      </c>
      <c r="H26" s="626">
        <v>0</v>
      </c>
      <c r="I26" s="626">
        <v>0</v>
      </c>
      <c r="J26" s="626">
        <v>4.6519999999999999E-2</v>
      </c>
      <c r="K26" s="626">
        <v>0</v>
      </c>
      <c r="L26" s="626">
        <v>0</v>
      </c>
      <c r="M26" s="626">
        <v>1.507E-2</v>
      </c>
      <c r="N26" s="626">
        <v>2.9099999999999998E-3</v>
      </c>
      <c r="O26" s="626">
        <v>0</v>
      </c>
      <c r="P26" s="626">
        <v>0</v>
      </c>
      <c r="Q26" s="626">
        <v>5.2859999999999997E-2</v>
      </c>
      <c r="R26" s="626">
        <v>5.2859999999999997E-2</v>
      </c>
    </row>
    <row r="27" spans="1:18" x14ac:dyDescent="0.25">
      <c r="A27" s="625" t="s">
        <v>160</v>
      </c>
      <c r="B27" s="625" t="s">
        <v>385</v>
      </c>
      <c r="C27" s="626">
        <v>0.15695999999999999</v>
      </c>
      <c r="D27" s="626">
        <v>2.9559999999999999E-2</v>
      </c>
      <c r="E27" s="626">
        <v>6.1519999999999998E-2</v>
      </c>
      <c r="F27" s="626">
        <v>4.4859999999999997E-2</v>
      </c>
      <c r="G27" s="626">
        <v>0</v>
      </c>
      <c r="H27" s="626">
        <v>7.1559999999999999E-2</v>
      </c>
      <c r="I27" s="626">
        <v>0</v>
      </c>
      <c r="J27" s="626">
        <v>0.23873</v>
      </c>
      <c r="K27" s="626">
        <v>0.10761</v>
      </c>
      <c r="L27" s="626">
        <v>0.13206000000000001</v>
      </c>
      <c r="M27" s="626">
        <v>5.6000000000000001E-2</v>
      </c>
      <c r="N27" s="626">
        <v>2.2599999999999999E-2</v>
      </c>
      <c r="O27" s="626">
        <v>4.6899999999999997E-2</v>
      </c>
      <c r="P27" s="626">
        <v>3.7850000000000002E-2</v>
      </c>
      <c r="Q27" s="626">
        <v>4.6109999999999998E-2</v>
      </c>
      <c r="R27" s="626">
        <v>4.6109999999999998E-2</v>
      </c>
    </row>
    <row r="28" spans="1:18" x14ac:dyDescent="0.25">
      <c r="A28" s="625" t="s">
        <v>160</v>
      </c>
      <c r="B28" s="625" t="s">
        <v>650</v>
      </c>
      <c r="C28" s="626">
        <v>6.6180000000000003E-2</v>
      </c>
      <c r="D28" s="626">
        <v>0</v>
      </c>
      <c r="E28" s="626">
        <v>1.119E-2</v>
      </c>
      <c r="F28" s="626">
        <v>0</v>
      </c>
      <c r="G28" s="626">
        <v>0.17738000000000001</v>
      </c>
      <c r="H28" s="626">
        <v>0</v>
      </c>
      <c r="I28" s="626">
        <v>0</v>
      </c>
      <c r="J28" s="626">
        <v>0</v>
      </c>
      <c r="K28" s="626">
        <v>5.7070000000000003E-2</v>
      </c>
      <c r="L28" s="626">
        <v>0</v>
      </c>
      <c r="M28" s="626">
        <v>1.601E-2</v>
      </c>
      <c r="N28" s="626">
        <v>8.7899999999999992E-3</v>
      </c>
      <c r="O28" s="626">
        <v>5.79E-3</v>
      </c>
      <c r="P28" s="626">
        <v>6.43E-3</v>
      </c>
      <c r="Q28" s="626">
        <v>5.5100000000000001E-3</v>
      </c>
      <c r="R28" s="626">
        <v>5.5100000000000001E-3</v>
      </c>
    </row>
    <row r="29" spans="1:18" x14ac:dyDescent="0.25">
      <c r="A29" s="625" t="s">
        <v>160</v>
      </c>
      <c r="B29" s="625" t="s">
        <v>651</v>
      </c>
      <c r="C29" s="626">
        <v>0</v>
      </c>
      <c r="D29" s="626">
        <v>1.055E-2</v>
      </c>
      <c r="E29" s="626">
        <v>8.2290000000000002E-2</v>
      </c>
      <c r="F29" s="626">
        <v>0.13779</v>
      </c>
      <c r="G29" s="626">
        <v>0</v>
      </c>
      <c r="H29" s="626">
        <v>3.2300000000000002E-2</v>
      </c>
      <c r="I29" s="626">
        <v>0</v>
      </c>
      <c r="J29" s="626">
        <v>0</v>
      </c>
      <c r="K29" s="626">
        <v>9.6399999999999993E-3</v>
      </c>
      <c r="L29" s="626">
        <v>0</v>
      </c>
      <c r="M29" s="626">
        <v>2.6040000000000001E-2</v>
      </c>
      <c r="N29" s="626">
        <v>9.6799999999999994E-3</v>
      </c>
      <c r="O29" s="626">
        <v>1.4970000000000001E-2</v>
      </c>
      <c r="P29" s="626">
        <v>1.0200000000000001E-2</v>
      </c>
      <c r="Q29" s="626">
        <v>1.857E-2</v>
      </c>
      <c r="R29" s="626">
        <v>1.857E-2</v>
      </c>
    </row>
    <row r="30" spans="1:18" x14ac:dyDescent="0.25">
      <c r="A30" s="625" t="s">
        <v>160</v>
      </c>
      <c r="B30" s="625" t="s">
        <v>652</v>
      </c>
      <c r="C30" s="626">
        <v>0</v>
      </c>
      <c r="D30" s="626">
        <v>0</v>
      </c>
      <c r="E30" s="626">
        <v>0</v>
      </c>
      <c r="F30" s="626">
        <v>9.7479999999999997E-2</v>
      </c>
      <c r="G30" s="626">
        <v>0</v>
      </c>
      <c r="H30" s="626">
        <v>0</v>
      </c>
      <c r="I30" s="626">
        <v>0.14027000000000001</v>
      </c>
      <c r="J30" s="626">
        <v>3.1050000000000001E-2</v>
      </c>
      <c r="K30" s="626">
        <v>0.10987</v>
      </c>
      <c r="L30" s="626">
        <v>0</v>
      </c>
      <c r="M30" s="626">
        <v>2.239E-2</v>
      </c>
      <c r="N30" s="626">
        <v>6.5030000000000004E-2</v>
      </c>
      <c r="O30" s="626">
        <v>0</v>
      </c>
      <c r="P30" s="626">
        <v>0</v>
      </c>
      <c r="Q30" s="626">
        <v>6.6800000000000002E-3</v>
      </c>
      <c r="R30" s="626">
        <v>6.6800000000000002E-3</v>
      </c>
    </row>
    <row r="31" spans="1:18" x14ac:dyDescent="0.25">
      <c r="A31" s="625" t="s">
        <v>160</v>
      </c>
      <c r="B31" s="625" t="s">
        <v>653</v>
      </c>
      <c r="C31" s="626">
        <v>4.9610000000000001E-2</v>
      </c>
      <c r="D31" s="626">
        <v>0</v>
      </c>
      <c r="E31" s="626">
        <v>0</v>
      </c>
      <c r="F31" s="626">
        <v>0</v>
      </c>
      <c r="G31" s="626">
        <v>0</v>
      </c>
      <c r="H31" s="626">
        <v>0</v>
      </c>
      <c r="I31" s="626">
        <v>0</v>
      </c>
      <c r="J31" s="626">
        <v>5.4210000000000001E-2</v>
      </c>
      <c r="K31" s="626">
        <v>0.19858000000000001</v>
      </c>
      <c r="L31" s="626">
        <v>0</v>
      </c>
      <c r="M31" s="626">
        <v>2.317E-2</v>
      </c>
      <c r="N31" s="626">
        <v>1.3639999999999999E-2</v>
      </c>
      <c r="O31" s="626">
        <v>4.3400000000000001E-3</v>
      </c>
      <c r="P31" s="626">
        <v>4.8199999999999996E-3</v>
      </c>
      <c r="Q31" s="626">
        <v>3.3800000000000002E-3</v>
      </c>
      <c r="R31" s="626">
        <v>3.3800000000000002E-3</v>
      </c>
    </row>
    <row r="32" spans="1:18" x14ac:dyDescent="0.25">
      <c r="A32" s="625" t="s">
        <v>160</v>
      </c>
      <c r="B32" s="625" t="s">
        <v>654</v>
      </c>
      <c r="C32" s="626">
        <v>0</v>
      </c>
      <c r="D32" s="626">
        <v>2.0670000000000001E-2</v>
      </c>
      <c r="E32" s="626">
        <v>0</v>
      </c>
      <c r="F32" s="626">
        <v>0</v>
      </c>
      <c r="G32" s="626">
        <v>0</v>
      </c>
      <c r="H32" s="626">
        <v>4.2199999999999998E-3</v>
      </c>
      <c r="I32" s="626">
        <v>0</v>
      </c>
      <c r="J32" s="626">
        <v>6.5619999999999998E-2</v>
      </c>
      <c r="K32" s="626">
        <v>0.15539</v>
      </c>
      <c r="L32" s="626">
        <v>0</v>
      </c>
      <c r="M32" s="626">
        <v>1.414E-2</v>
      </c>
      <c r="N32" s="626">
        <v>7.0400000000000003E-3</v>
      </c>
      <c r="O32" s="626">
        <v>1.9599999999999999E-3</v>
      </c>
      <c r="P32" s="626">
        <v>1.33E-3</v>
      </c>
      <c r="Q32" s="626">
        <v>1.796E-2</v>
      </c>
      <c r="R32" s="626">
        <v>1.796E-2</v>
      </c>
    </row>
    <row r="33" spans="1:18" x14ac:dyDescent="0.25">
      <c r="A33" s="625" t="s">
        <v>160</v>
      </c>
      <c r="B33" s="625" t="s">
        <v>655</v>
      </c>
      <c r="C33" s="626">
        <v>0</v>
      </c>
      <c r="D33" s="626">
        <v>3.458E-2</v>
      </c>
      <c r="E33" s="626">
        <v>0</v>
      </c>
      <c r="F33" s="626">
        <v>0</v>
      </c>
      <c r="G33" s="626">
        <v>0</v>
      </c>
      <c r="H33" s="626">
        <v>6.6600000000000001E-3</v>
      </c>
      <c r="I33" s="626">
        <v>0</v>
      </c>
      <c r="J33" s="626">
        <v>0</v>
      </c>
      <c r="K33" s="626">
        <v>0</v>
      </c>
      <c r="L33" s="626">
        <v>0</v>
      </c>
      <c r="M33" s="626">
        <v>4.9699999999999996E-3</v>
      </c>
      <c r="N33" s="626">
        <v>0</v>
      </c>
      <c r="O33" s="626">
        <v>3.0899999999999999E-3</v>
      </c>
      <c r="P33" s="626">
        <v>2.0999999999999999E-3</v>
      </c>
      <c r="Q33" s="626">
        <v>2.3199999999999998E-2</v>
      </c>
      <c r="R33" s="626">
        <v>2.3199999999999998E-2</v>
      </c>
    </row>
    <row r="34" spans="1:18" x14ac:dyDescent="0.25">
      <c r="A34" s="625" t="s">
        <v>159</v>
      </c>
      <c r="B34" s="625" t="s">
        <v>656</v>
      </c>
      <c r="C34" s="626">
        <v>0</v>
      </c>
      <c r="D34" s="626">
        <v>0</v>
      </c>
      <c r="E34" s="626">
        <v>0</v>
      </c>
      <c r="F34" s="626">
        <v>0</v>
      </c>
      <c r="G34" s="626">
        <v>0</v>
      </c>
      <c r="H34" s="626">
        <v>0</v>
      </c>
      <c r="I34" s="626">
        <v>0</v>
      </c>
      <c r="J34" s="626">
        <v>0</v>
      </c>
      <c r="K34" s="626">
        <v>0</v>
      </c>
      <c r="L34" s="626">
        <v>0</v>
      </c>
      <c r="M34" s="626">
        <v>2.3089999999999999E-2</v>
      </c>
      <c r="N34" s="626">
        <v>0.31385000000000002</v>
      </c>
      <c r="O34" s="626">
        <v>0.40483999999999998</v>
      </c>
      <c r="P34" s="626">
        <v>0.42243999999999998</v>
      </c>
      <c r="Q34" s="626">
        <v>0</v>
      </c>
      <c r="R34" s="626">
        <v>0</v>
      </c>
    </row>
    <row r="35" spans="1:18" x14ac:dyDescent="0.25">
      <c r="A35" s="625" t="s">
        <v>159</v>
      </c>
      <c r="B35" s="625" t="s">
        <v>657</v>
      </c>
      <c r="C35" s="626">
        <v>0</v>
      </c>
      <c r="D35" s="626">
        <v>0</v>
      </c>
      <c r="E35" s="626">
        <v>0</v>
      </c>
      <c r="F35" s="626">
        <v>0</v>
      </c>
      <c r="G35" s="626">
        <v>0</v>
      </c>
      <c r="H35" s="626">
        <v>0</v>
      </c>
      <c r="I35" s="626">
        <v>0</v>
      </c>
      <c r="J35" s="626">
        <v>0</v>
      </c>
      <c r="K35" s="626">
        <v>0</v>
      </c>
      <c r="L35" s="626">
        <v>0</v>
      </c>
      <c r="M35" s="626">
        <v>0.15223999999999999</v>
      </c>
      <c r="N35" s="626">
        <v>0</v>
      </c>
      <c r="O35" s="626">
        <v>0</v>
      </c>
      <c r="P35" s="626">
        <v>0</v>
      </c>
      <c r="Q35" s="626">
        <v>0</v>
      </c>
      <c r="R35" s="626">
        <v>0</v>
      </c>
    </row>
    <row r="36" spans="1:18" x14ac:dyDescent="0.25">
      <c r="A36" s="625" t="s">
        <v>159</v>
      </c>
      <c r="B36" s="625" t="s">
        <v>658</v>
      </c>
      <c r="C36" s="626">
        <v>0</v>
      </c>
      <c r="D36" s="626">
        <v>0</v>
      </c>
      <c r="E36" s="626">
        <v>0</v>
      </c>
      <c r="F36" s="626">
        <v>0</v>
      </c>
      <c r="G36" s="626">
        <v>0</v>
      </c>
      <c r="H36" s="626">
        <v>0</v>
      </c>
      <c r="I36" s="626">
        <v>0</v>
      </c>
      <c r="J36" s="626">
        <v>0</v>
      </c>
      <c r="K36" s="626">
        <v>0</v>
      </c>
      <c r="L36" s="626">
        <v>0</v>
      </c>
      <c r="M36" s="626">
        <v>5.0070000000000003E-2</v>
      </c>
      <c r="N36" s="626">
        <v>5.9119999999999999E-2</v>
      </c>
      <c r="O36" s="626">
        <v>0</v>
      </c>
      <c r="P36" s="626">
        <v>0</v>
      </c>
      <c r="Q36" s="626">
        <v>0</v>
      </c>
      <c r="R36" s="626">
        <v>0</v>
      </c>
    </row>
    <row r="37" spans="1:18" x14ac:dyDescent="0.25">
      <c r="A37" s="625" t="s">
        <v>159</v>
      </c>
      <c r="B37" s="625" t="s">
        <v>659</v>
      </c>
      <c r="C37" s="626">
        <v>0</v>
      </c>
      <c r="D37" s="626">
        <v>0</v>
      </c>
      <c r="E37" s="626">
        <v>0</v>
      </c>
      <c r="F37" s="626">
        <v>0</v>
      </c>
      <c r="G37" s="626">
        <v>0</v>
      </c>
      <c r="H37" s="626">
        <v>0</v>
      </c>
      <c r="I37" s="626">
        <v>0</v>
      </c>
      <c r="J37" s="626">
        <v>0</v>
      </c>
      <c r="K37" s="626">
        <v>0</v>
      </c>
      <c r="L37" s="626">
        <v>0</v>
      </c>
      <c r="M37" s="626">
        <v>0</v>
      </c>
      <c r="N37" s="626">
        <v>0</v>
      </c>
      <c r="O37" s="626">
        <v>0</v>
      </c>
      <c r="P37" s="626">
        <v>0</v>
      </c>
      <c r="Q37" s="626">
        <v>3.8699999999999998E-2</v>
      </c>
      <c r="R37" s="626">
        <v>3.8699999999999998E-2</v>
      </c>
    </row>
    <row r="38" spans="1:18" x14ac:dyDescent="0.25">
      <c r="A38" s="625" t="s">
        <v>159</v>
      </c>
      <c r="B38" s="625" t="s">
        <v>660</v>
      </c>
      <c r="C38" s="626">
        <v>0</v>
      </c>
      <c r="D38" s="626">
        <v>0</v>
      </c>
      <c r="E38" s="626">
        <v>0</v>
      </c>
      <c r="F38" s="626">
        <v>0</v>
      </c>
      <c r="G38" s="626">
        <v>0</v>
      </c>
      <c r="H38" s="626">
        <v>0</v>
      </c>
      <c r="I38" s="626">
        <v>0</v>
      </c>
      <c r="J38" s="626">
        <v>0</v>
      </c>
      <c r="K38" s="626">
        <v>0</v>
      </c>
      <c r="L38" s="626">
        <v>0</v>
      </c>
      <c r="M38" s="626">
        <v>1.67E-2</v>
      </c>
      <c r="N38" s="626">
        <v>0</v>
      </c>
      <c r="O38" s="626">
        <v>0</v>
      </c>
      <c r="P38" s="626">
        <v>0</v>
      </c>
      <c r="Q38" s="626">
        <v>0</v>
      </c>
      <c r="R38" s="626">
        <v>0</v>
      </c>
    </row>
    <row r="39" spans="1:18" x14ac:dyDescent="0.25">
      <c r="A39" s="625" t="s">
        <v>159</v>
      </c>
      <c r="B39" s="625" t="s">
        <v>661</v>
      </c>
      <c r="C39" s="626">
        <v>0</v>
      </c>
      <c r="D39" s="626">
        <v>0</v>
      </c>
      <c r="E39" s="626">
        <v>0</v>
      </c>
      <c r="F39" s="626">
        <v>0</v>
      </c>
      <c r="G39" s="626">
        <v>0</v>
      </c>
      <c r="H39" s="626">
        <v>0</v>
      </c>
      <c r="I39" s="626">
        <v>0</v>
      </c>
      <c r="J39" s="626">
        <v>0</v>
      </c>
      <c r="K39" s="626">
        <v>0</v>
      </c>
      <c r="L39" s="626">
        <v>0</v>
      </c>
      <c r="M39" s="626">
        <v>0</v>
      </c>
      <c r="N39" s="626">
        <v>0</v>
      </c>
      <c r="O39" s="626">
        <v>0</v>
      </c>
      <c r="P39" s="626">
        <v>0.14005000000000001</v>
      </c>
      <c r="Q39" s="626">
        <v>0</v>
      </c>
      <c r="R39" s="626">
        <v>0</v>
      </c>
    </row>
    <row r="40" spans="1:18" x14ac:dyDescent="0.25">
      <c r="A40" s="625" t="s">
        <v>159</v>
      </c>
      <c r="B40" s="625" t="s">
        <v>662</v>
      </c>
      <c r="C40" s="626">
        <v>0</v>
      </c>
      <c r="D40" s="626">
        <v>0</v>
      </c>
      <c r="E40" s="626">
        <v>0</v>
      </c>
      <c r="F40" s="626">
        <v>0</v>
      </c>
      <c r="G40" s="626">
        <v>0</v>
      </c>
      <c r="H40" s="626">
        <v>0</v>
      </c>
      <c r="I40" s="626">
        <v>0</v>
      </c>
      <c r="J40" s="626">
        <v>0</v>
      </c>
      <c r="K40" s="626">
        <v>0</v>
      </c>
      <c r="L40" s="626">
        <v>0</v>
      </c>
      <c r="M40" s="626">
        <v>5.94E-3</v>
      </c>
      <c r="N40" s="626">
        <v>0</v>
      </c>
      <c r="O40" s="626">
        <v>0</v>
      </c>
      <c r="P40" s="626">
        <v>0</v>
      </c>
      <c r="Q40" s="626">
        <v>0</v>
      </c>
      <c r="R40" s="626">
        <v>0</v>
      </c>
    </row>
    <row r="41" spans="1:18" x14ac:dyDescent="0.25">
      <c r="A41" s="625" t="s">
        <v>159</v>
      </c>
      <c r="B41" s="625" t="s">
        <v>663</v>
      </c>
      <c r="C41" s="626">
        <v>0</v>
      </c>
      <c r="D41" s="626">
        <v>0</v>
      </c>
      <c r="E41" s="626">
        <v>0</v>
      </c>
      <c r="F41" s="626">
        <v>0</v>
      </c>
      <c r="G41" s="626">
        <v>0</v>
      </c>
      <c r="H41" s="626">
        <v>0</v>
      </c>
      <c r="I41" s="626">
        <v>0</v>
      </c>
      <c r="J41" s="626">
        <v>0</v>
      </c>
      <c r="K41" s="626">
        <v>0</v>
      </c>
      <c r="L41" s="626">
        <v>0</v>
      </c>
      <c r="M41" s="626">
        <v>0</v>
      </c>
      <c r="N41" s="626">
        <v>0</v>
      </c>
      <c r="O41" s="626">
        <v>0</v>
      </c>
      <c r="P41" s="626">
        <v>0</v>
      </c>
      <c r="Q41" s="626">
        <v>1.1259999999999999E-2</v>
      </c>
      <c r="R41" s="626">
        <v>1.1259999999999999E-2</v>
      </c>
    </row>
    <row r="42" spans="1:18" x14ac:dyDescent="0.25">
      <c r="A42" s="625" t="s">
        <v>159</v>
      </c>
      <c r="B42" s="625" t="s">
        <v>664</v>
      </c>
      <c r="C42" s="626">
        <v>0</v>
      </c>
      <c r="D42" s="626">
        <v>0</v>
      </c>
      <c r="E42" s="626">
        <v>0</v>
      </c>
      <c r="F42" s="626">
        <v>0</v>
      </c>
      <c r="G42" s="626">
        <v>0</v>
      </c>
      <c r="H42" s="626">
        <v>0</v>
      </c>
      <c r="I42" s="626">
        <v>0</v>
      </c>
      <c r="J42" s="626">
        <v>0</v>
      </c>
      <c r="K42" s="626">
        <v>0</v>
      </c>
      <c r="L42" s="626">
        <v>0</v>
      </c>
      <c r="M42" s="626">
        <v>0</v>
      </c>
      <c r="N42" s="626">
        <v>4.47E-3</v>
      </c>
      <c r="O42" s="626">
        <v>0</v>
      </c>
      <c r="P42" s="626">
        <v>0</v>
      </c>
      <c r="Q42" s="626">
        <v>0</v>
      </c>
      <c r="R42" s="62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C0F7-8A40-4C47-B647-6DFA004EDBEE}">
  <dimension ref="A1:AO124"/>
  <sheetViews>
    <sheetView showGridLines="0" workbookViewId="0">
      <selection activeCell="B2" sqref="B2:AO25 B28:Q51 B54:Q77 B83:D106 B79:Q79 A108:B124"/>
    </sheetView>
  </sheetViews>
  <sheetFormatPr defaultRowHeight="11.25" x14ac:dyDescent="0.25"/>
  <cols>
    <col min="1" max="16384" width="9.140625" style="251"/>
  </cols>
  <sheetData>
    <row r="1" spans="1:41" x14ac:dyDescent="0.25">
      <c r="A1" s="251" t="s">
        <v>671</v>
      </c>
      <c r="B1" s="625" t="s">
        <v>362</v>
      </c>
      <c r="C1" s="625" t="s">
        <v>357</v>
      </c>
      <c r="D1" s="625" t="s">
        <v>363</v>
      </c>
      <c r="E1" s="625" t="s">
        <v>364</v>
      </c>
      <c r="F1" s="625" t="s">
        <v>365</v>
      </c>
      <c r="G1" s="625" t="s">
        <v>366</v>
      </c>
      <c r="H1" s="625" t="s">
        <v>367</v>
      </c>
      <c r="I1" s="625" t="s">
        <v>368</v>
      </c>
      <c r="J1" s="625" t="s">
        <v>369</v>
      </c>
      <c r="K1" s="625" t="s">
        <v>370</v>
      </c>
      <c r="L1" s="625" t="s">
        <v>371</v>
      </c>
      <c r="M1" s="625" t="s">
        <v>372</v>
      </c>
      <c r="N1" s="625" t="s">
        <v>373</v>
      </c>
      <c r="O1" s="625" t="s">
        <v>374</v>
      </c>
      <c r="P1" s="625" t="s">
        <v>375</v>
      </c>
      <c r="Q1" s="625" t="s">
        <v>376</v>
      </c>
      <c r="R1" s="625" t="s">
        <v>377</v>
      </c>
      <c r="S1" s="625" t="s">
        <v>378</v>
      </c>
      <c r="T1" s="625" t="s">
        <v>379</v>
      </c>
      <c r="U1" s="625" t="s">
        <v>380</v>
      </c>
      <c r="V1" s="625" t="s">
        <v>381</v>
      </c>
      <c r="W1" s="625" t="s">
        <v>382</v>
      </c>
      <c r="X1" s="625" t="s">
        <v>383</v>
      </c>
      <c r="Y1" s="625" t="s">
        <v>384</v>
      </c>
      <c r="Z1" s="625" t="s">
        <v>385</v>
      </c>
      <c r="AA1" s="625" t="s">
        <v>650</v>
      </c>
      <c r="AB1" s="625" t="s">
        <v>651</v>
      </c>
      <c r="AC1" s="625" t="s">
        <v>652</v>
      </c>
      <c r="AD1" s="625" t="s">
        <v>653</v>
      </c>
      <c r="AE1" s="625" t="s">
        <v>654</v>
      </c>
      <c r="AF1" s="625" t="s">
        <v>655</v>
      </c>
      <c r="AG1" s="625" t="s">
        <v>656</v>
      </c>
      <c r="AH1" s="625" t="s">
        <v>657</v>
      </c>
      <c r="AI1" s="625" t="s">
        <v>658</v>
      </c>
      <c r="AJ1" s="625" t="s">
        <v>659</v>
      </c>
      <c r="AK1" s="625" t="s">
        <v>660</v>
      </c>
      <c r="AL1" s="625" t="s">
        <v>661</v>
      </c>
      <c r="AM1" s="625" t="s">
        <v>662</v>
      </c>
      <c r="AN1" s="625" t="s">
        <v>663</v>
      </c>
      <c r="AO1" s="625" t="s">
        <v>664</v>
      </c>
    </row>
    <row r="2" spans="1:41" x14ac:dyDescent="0.25">
      <c r="A2" s="625">
        <v>1</v>
      </c>
      <c r="B2" s="626">
        <f>IF(AVERAGE('CT (CTR)'!$G$6:'CT (CTR)'!$G$29)&lt;&gt;0,'CT (CTR)'!$G$12/AVERAGE('CT (CTR)'!$G$6:'CT (CTR)'!$G$29),0)</f>
        <v>2.0625410015307222</v>
      </c>
      <c r="C2" s="626">
        <f>IF(AVERAGE('CT (CTR)'!$G$40:'CT (CTR)'!$G$63)&lt;&gt;0,'CT (CTR)'!$G$46/AVERAGE('CT (CTR)'!$G$40:'CT (CTR)'!$G$63),0)</f>
        <v>0.32356689389755294</v>
      </c>
      <c r="D2" s="626">
        <f>IF(AVERAGE('CT (CTR)'!$H$40:'CT (CTR)'!$H$63)&lt;&gt;0,'CT (CTR)'!$H$46/AVERAGE('CT (CTR)'!$H$40:'CT (CTR)'!$H$63),0)</f>
        <v>0.65764102347798947</v>
      </c>
      <c r="E2" s="626">
        <f>IF(AVERAGE('CT (CTR)'!$I$40:'CT (CTR)'!$I$63)&lt;&gt;0,'CT (CTR)'!$I$46/AVERAGE('CT (CTR)'!$I$40:'CT (CTR)'!$I$63),0)</f>
        <v>0.1796501590679595</v>
      </c>
      <c r="F2" s="626">
        <f>IF(AVERAGE('CT (CTR)'!$J$40:'CT (CTR)'!$J$63)&lt;&gt;0,'CT (CTR)'!$J$46/AVERAGE('CT (CTR)'!$J$40:'CT (CTR)'!$J$63),0)</f>
        <v>0.39428800122618962</v>
      </c>
      <c r="G2" s="626">
        <f>IF(AVERAGE('CT (CTR)'!$K$40:'CT (CTR)'!$K$63)&lt;&gt;0,'CT (CTR)'!$K$46/AVERAGE('CT (CTR)'!$K$40:'CT (CTR)'!$K$63),0)</f>
        <v>0.8719659332860169</v>
      </c>
      <c r="H2" s="626">
        <f>IF(AVERAGE('CT (CTR)'!$L$40:'CT (CTR)'!$L$63)&lt;&gt;0,'CT (CTR)'!$L$46/AVERAGE('CT (CTR)'!$L$40:'CT (CTR)'!$L$63),0)</f>
        <v>0.34816978926428005</v>
      </c>
      <c r="I2" s="626">
        <f>IF(AVERAGE('CT (CTR)'!$M$40:'CT (CTR)'!$M$63)&lt;&gt;0,'CT (CTR)'!$M$46/AVERAGE('CT (CTR)'!$M$40:'CT (CTR)'!$M$63),0)</f>
        <v>0.83865773142241551</v>
      </c>
      <c r="J2" s="626">
        <f>IF(AVERAGE('CT (CTR)'!$N$40:'CT (CTR)'!$N$63)&lt;&gt;0,'CT (CTR)'!$N$46/AVERAGE('CT (CTR)'!$N$40:'CT (CTR)'!$N$63),0)</f>
        <v>0.6474492362008275</v>
      </c>
      <c r="K2" s="626">
        <f>IF(AVERAGE('CT (CTR)'!$O$40:'CT (CTR)'!$O$63)&lt;&gt;0,'CT (CTR)'!$O$46/AVERAGE('CT (CTR)'!$O$40:'CT (CTR)'!$O$63),0)</f>
        <v>1.7890913179684311</v>
      </c>
      <c r="L2" s="626">
        <f>IF(AVERAGE('CT (CTR)'!$P$40:'CT (CTR)'!$P$63)&lt;&gt;0,'CT (CTR)'!$P$46/AVERAGE('CT (CTR)'!$P$40:'CT (CTR)'!$P$63),0)</f>
        <v>5.8002683709275468E-4</v>
      </c>
      <c r="M2" s="626">
        <f>IF(AVERAGE('CT (CTR)'!$Q$40:'CT (CTR)'!$Q$63)&lt;&gt;0,'CT (CTR)'!$Q$46/AVERAGE('CT (CTR)'!$Q$40:'CT (CTR)'!$Q$63),0)</f>
        <v>0.43667855323484472</v>
      </c>
      <c r="N2" s="626">
        <f>IF(AVERAGE('CT (CTR)'!$R$40:'CT (CTR)'!$R$63)&lt;&gt;0,'CT (CTR)'!$R$46/AVERAGE('CT (CTR)'!$R$40:'CT (CTR)'!$R$63),0)</f>
        <v>0.72826234861885997</v>
      </c>
      <c r="O2" s="626">
        <f>IF(AVERAGE('CT (CTR)'!$S$40:'CT (CTR)'!$S$63)&lt;&gt;0,'CT (CTR)'!$S$46/AVERAGE('CT (CTR)'!$S$40:'CT (CTR)'!$S$63),0)</f>
        <v>0.27704749068421464</v>
      </c>
      <c r="P2" s="626">
        <f>IF(AVERAGE('CT (CTR)'!$T$40:'CT (CTR)'!$T$63)&lt;&gt;0,'CT (CTR)'!$T$46/AVERAGE('CT (CTR)'!$T$40:'CT (CTR)'!$T$63),0)</f>
        <v>1.1420329731288963</v>
      </c>
      <c r="Q2" s="626">
        <f>IF(AVERAGE('CT (CTR)'!$G$142:'CT (CTR)'!$G$165)&lt;&gt;0,'CT (CTR)'!$G$148/AVERAGE('CT (CTR)'!$G$142:'CT (CTR)'!$G$165),0)</f>
        <v>0.47690467158822353</v>
      </c>
      <c r="R2" s="626">
        <f>IF(AVERAGE('CT (CTR)'!$H$142:'CT (CTR)'!$H$165)&lt;&gt;0,'CT (CTR)'!$H$148/AVERAGE('CT (CTR)'!$H$142:'CT (CTR)'!$H$165),0)</f>
        <v>0.41836979961702214</v>
      </c>
      <c r="S2" s="626">
        <f>IF(AVERAGE('CT (CTR)'!$I$142:'CT (CTR)'!$I$165)&lt;&gt;0,'CT (CTR)'!$I$148/AVERAGE('CT (CTR)'!$I$142:'CT (CTR)'!$I$165),0)</f>
        <v>0.77703895350243335</v>
      </c>
      <c r="T2" s="626">
        <f>IF(AVERAGE('CT (CTR)'!$G$176:'CT (CTR)'!$G$199)&lt;&gt;0,'CT (CTR)'!$G$182/AVERAGE('CT (CTR)'!$G$176:'CT (CTR)'!$G$199),0)</f>
        <v>0.69002423445256023</v>
      </c>
      <c r="U2" s="626">
        <f>IF(AVERAGE('CT (CTR)'!$H$176:'CT (CTR)'!$H$199)&lt;&gt;0,'CT (CTR)'!$H$182/AVERAGE('CT (CTR)'!$H$176:'CT (CTR)'!$H$199),0)</f>
        <v>0.40676621520002015</v>
      </c>
      <c r="V2" s="626">
        <f>IF(AVERAGE('CT (CTR)'!$I$176:'CT (CTR)'!$I$199)&lt;&gt;0,'CT (CTR)'!$I$182/AVERAGE('CT (CTR)'!$I$176:'CT (CTR)'!$I$199),0)</f>
        <v>0.58019189430084406</v>
      </c>
      <c r="W2" s="626">
        <f>IF(AVERAGE('CT (CTR)'!$J$176:'CT (CTR)'!$J$199)&lt;&gt;0,'CT (CTR)'!$J$182/AVERAGE('CT (CTR)'!$J$176:'CT (CTR)'!$J$199),0)</f>
        <v>0.56985718407386055</v>
      </c>
      <c r="X2" s="626">
        <f>IF(AVERAGE('CT (CTR)'!$K$176:'CT (CTR)'!$K$199)&lt;&gt;0,'CT (CTR)'!$K$182/AVERAGE('CT (CTR)'!$K$176:'CT (CTR)'!$K$199),0)</f>
        <v>0.52036257367873606</v>
      </c>
      <c r="Y2" s="626">
        <f>IF(AVERAGE('CT (CTR)'!$L$176:'CT (CTR)'!$L$199)&lt;&gt;0,'CT (CTR)'!$L$182/AVERAGE('CT (CTR)'!$L$176:'CT (CTR)'!$L$199),0)</f>
        <v>0.62394195888754478</v>
      </c>
      <c r="Z2" s="626">
        <f>IF(AVERAGE('CT (CTR)'!$M$176:'CT (CTR)'!$M$199)&lt;&gt;0,'CT (CTR)'!$M$182/AVERAGE('CT (CTR)'!$M$176:'CT (CTR)'!$M$199),0)</f>
        <v>0.62724370788157868</v>
      </c>
      <c r="AA2" s="626">
        <f>IF(AVERAGE('CT (CTR)'!$N$176:'CT (CTR)'!$N$199)&lt;&gt;0,'CT (CTR)'!$N$182/AVERAGE('CT (CTR)'!$N$176:'CT (CTR)'!$N$199),0)</f>
        <v>1.1671796306659212</v>
      </c>
      <c r="AB2" s="626">
        <f>IF(AVERAGE('CT (CTR)'!$O$176:'CT (CTR)'!$O$199)&lt;&gt;0,'CT (CTR)'!$O$182/AVERAGE('CT (CTR)'!$O$176:'CT (CTR)'!$O$199),0)</f>
        <v>1.3160628844839368</v>
      </c>
      <c r="AC2" s="626">
        <f>IF(AVERAGE('CT (CTR)'!$P$176:'CT (CTR)'!$P$199)&lt;&gt;0,'CT (CTR)'!$P$182/AVERAGE('CT (CTR)'!$P$176:'CT (CTR)'!$P$199),0)</f>
        <v>0.66907568133463957</v>
      </c>
      <c r="AD2" s="626">
        <f>IF(AVERAGE('CT (CTR)'!$Q$176:'CT (CTR)'!$Q$199)&lt;&gt;0,'CT (CTR)'!$Q$182/AVERAGE('CT (CTR)'!$Q$176:'CT (CTR)'!$Q$199),0)</f>
        <v>1.5438203961251933</v>
      </c>
      <c r="AE2" s="626">
        <f>IF(AVERAGE('CT (CTR)'!$R$176:'CT (CTR)'!$R$199)&lt;&gt;0,'CT (CTR)'!$R$182/AVERAGE('CT (CTR)'!$R$176:'CT (CTR)'!$R$199),0)</f>
        <v>0.72477191425639953</v>
      </c>
      <c r="AF2" s="626">
        <f>IF(AVERAGE('CT (CTR)'!$S$176:'CT (CTR)'!$S$199)&lt;&gt;0,'CT (CTR)'!$S$182/AVERAGE('CT (CTR)'!$S$176:'CT (CTR)'!$S$199),0)</f>
        <v>0.79865459619994816</v>
      </c>
      <c r="AG2" s="626">
        <f>IF(AVERAGE('CT (CTR)'!$G$244:'CT (CTR)'!$G$267)&lt;&gt;0,'CT (CTR)'!$G$250/AVERAGE('CT (CTR)'!$G$244:'CT (CTR)'!$G$267),0)</f>
        <v>1.0981303490190277</v>
      </c>
      <c r="AH2" s="626">
        <f>IF(AVERAGE('CT (CTR)'!$H$244:'CT (CTR)'!$H$267)&lt;&gt;0,'CT (CTR)'!$H$250/AVERAGE('CT (CTR)'!$H$244:'CT (CTR)'!$H$267),0)</f>
        <v>0.5385806118826536</v>
      </c>
      <c r="AI2" s="626">
        <f>IF(AVERAGE('CT (CTR)'!$I$244:'CT (CTR)'!$I$267)&lt;&gt;0,'CT (CTR)'!$I$250/AVERAGE('CT (CTR)'!$I$244:'CT (CTR)'!$I$267),0)</f>
        <v>0.21539251238582124</v>
      </c>
      <c r="AJ2" s="626">
        <f>IF(AVERAGE('CT (CTR)'!$J$244:'CT (CTR)'!$J$267)&lt;&gt;0,'CT (CTR)'!$J$250/AVERAGE('CT (CTR)'!$J$244:'CT (CTR)'!$J$267),0)</f>
        <v>0.11966420881277562</v>
      </c>
      <c r="AK2" s="626">
        <f>IF(AVERAGE('CT (CTR)'!$K$244:'CT (CTR)'!$K$267)&lt;&gt;0,'CT (CTR)'!$K$250/AVERAGE('CT (CTR)'!$K$244:'CT (CTR)'!$K$267),0)</f>
        <v>0.67708477389019461</v>
      </c>
      <c r="AL2" s="626">
        <f>IF(AVERAGE('CT (CTR)'!$L$244:'CT (CTR)'!$L$267)&lt;&gt;0,'CT (CTR)'!$L$250/AVERAGE('CT (CTR)'!$L$244:'CT (CTR)'!$L$267),0)</f>
        <v>0.93345432050868626</v>
      </c>
      <c r="AM2" s="626">
        <f>IF(AVERAGE('CT (CTR)'!$M$244:'CT (CTR)'!$M$267)&lt;&gt;0,'CT (CTR)'!$M$250/AVERAGE('CT (CTR)'!$M$244:'CT (CTR)'!$M$267),0)</f>
        <v>0.4861596822950619</v>
      </c>
      <c r="AN2" s="626">
        <f>IF(AVERAGE('CT (CTR)'!$N$244:'CT (CTR)'!$N$267)&lt;&gt;0,'CT (CTR)'!$N$250/AVERAGE('CT (CTR)'!$N$244:'CT (CTR)'!$N$267),0)</f>
        <v>0.39141092726158422</v>
      </c>
      <c r="AO2" s="626">
        <f>IF(AVERAGE('CT (CTR)'!$O$244:'CT (CTR)'!$O$267)&lt;&gt;0,'CT (CTR)'!$O$250/AVERAGE('CT (CTR)'!$O$244:'CT (CTR)'!$O$267),0)</f>
        <v>0.75333602453774795</v>
      </c>
    </row>
    <row r="3" spans="1:41" x14ac:dyDescent="0.25">
      <c r="A3" s="625">
        <v>2</v>
      </c>
      <c r="B3" s="626">
        <f>IF(AVERAGE('CT (CTR)'!$G$6:'CT (CTR)'!$G$29)&lt;&gt;0,'CT (CTR)'!$G$13/AVERAGE('CT (CTR)'!$G$6:'CT (CTR)'!$G$29),0)</f>
        <v>2.0625410015307222</v>
      </c>
      <c r="C3" s="626">
        <f>IF(AVERAGE('CT (CTR)'!$G$40:'CT (CTR)'!$G$63)&lt;&gt;0,'CT (CTR)'!$G$47/AVERAGE('CT (CTR)'!$G$40:'CT (CTR)'!$G$63),0)</f>
        <v>0.31309853025267337</v>
      </c>
      <c r="D3" s="626">
        <f>IF(AVERAGE('CT (CTR)'!$H$40:'CT (CTR)'!$H$63)&lt;&gt;0,'CT (CTR)'!$H$47/AVERAGE('CT (CTR)'!$H$40:'CT (CTR)'!$H$63),0)</f>
        <v>0.65576826754258644</v>
      </c>
      <c r="E3" s="626">
        <f>IF(AVERAGE('CT (CTR)'!$I$40:'CT (CTR)'!$I$63)&lt;&gt;0,'CT (CTR)'!$I$47/AVERAGE('CT (CTR)'!$I$40:'CT (CTR)'!$I$63),0)</f>
        <v>0.16148709540820183</v>
      </c>
      <c r="F3" s="626">
        <f>IF(AVERAGE('CT (CTR)'!$J$40:'CT (CTR)'!$J$63)&lt;&gt;0,'CT (CTR)'!$J$47/AVERAGE('CT (CTR)'!$J$40:'CT (CTR)'!$J$63),0)</f>
        <v>0.41193150369985626</v>
      </c>
      <c r="G3" s="626">
        <f>IF(AVERAGE('CT (CTR)'!$K$40:'CT (CTR)'!$K$63)&lt;&gt;0,'CT (CTR)'!$K$47/AVERAGE('CT (CTR)'!$K$40:'CT (CTR)'!$K$63),0)</f>
        <v>0.83188076650106291</v>
      </c>
      <c r="H3" s="626">
        <f>IF(AVERAGE('CT (CTR)'!$L$40:'CT (CTR)'!$L$63)&lt;&gt;0,'CT (CTR)'!$L$47/AVERAGE('CT (CTR)'!$L$40:'CT (CTR)'!$L$63),0)</f>
        <v>0.33604358274961393</v>
      </c>
      <c r="I3" s="626">
        <f>IF(AVERAGE('CT (CTR)'!$M$40:'CT (CTR)'!$M$63)&lt;&gt;0,'CT (CTR)'!$M$47/AVERAGE('CT (CTR)'!$M$40:'CT (CTR)'!$M$63),0)</f>
        <v>0.80744218310644333</v>
      </c>
      <c r="J3" s="626">
        <f>IF(AVERAGE('CT (CTR)'!$N$40:'CT (CTR)'!$N$63)&lt;&gt;0,'CT (CTR)'!$N$47/AVERAGE('CT (CTR)'!$N$40:'CT (CTR)'!$N$63),0)</f>
        <v>0.53675999250500683</v>
      </c>
      <c r="K3" s="626">
        <f>IF(AVERAGE('CT (CTR)'!$O$40:'CT (CTR)'!$O$63)&lt;&gt;0,'CT (CTR)'!$O$47/AVERAGE('CT (CTR)'!$O$40:'CT (CTR)'!$O$63),0)</f>
        <v>1.9353399944404015</v>
      </c>
      <c r="L3" s="626">
        <f>IF(AVERAGE('CT (CTR)'!$P$40:'CT (CTR)'!$P$63)&lt;&gt;0,'CT (CTR)'!$P$47/AVERAGE('CT (CTR)'!$P$40:'CT (CTR)'!$P$63),0)</f>
        <v>5.8002683709275468E-4</v>
      </c>
      <c r="M3" s="626">
        <f>IF(AVERAGE('CT (CTR)'!$Q$40:'CT (CTR)'!$Q$63)&lt;&gt;0,'CT (CTR)'!$Q$47/AVERAGE('CT (CTR)'!$Q$40:'CT (CTR)'!$Q$63),0)</f>
        <v>0.43953132959755531</v>
      </c>
      <c r="N3" s="626">
        <f>IF(AVERAGE('CT (CTR)'!$R$40:'CT (CTR)'!$R$63)&lt;&gt;0,'CT (CTR)'!$R$47/AVERAGE('CT (CTR)'!$R$40:'CT (CTR)'!$R$63),0)</f>
        <v>0.72079777617946095</v>
      </c>
      <c r="O3" s="626">
        <f>IF(AVERAGE('CT (CTR)'!$S$40:'CT (CTR)'!$S$63)&lt;&gt;0,'CT (CTR)'!$S$47/AVERAGE('CT (CTR)'!$S$40:'CT (CTR)'!$S$63),0)</f>
        <v>0.26169824783953083</v>
      </c>
      <c r="P3" s="626">
        <f>IF(AVERAGE('CT (CTR)'!$T$40:'CT (CTR)'!$T$63)&lt;&gt;0,'CT (CTR)'!$T$47/AVERAGE('CT (CTR)'!$T$40:'CT (CTR)'!$T$63),0)</f>
        <v>0.49499633878447735</v>
      </c>
      <c r="Q3" s="626">
        <f>IF(AVERAGE('CT (CTR)'!$G$142:'CT (CTR)'!$G$165)&lt;&gt;0,'CT (CTR)'!$G$149/AVERAGE('CT (CTR)'!$G$142:'CT (CTR)'!$G$165),0)</f>
        <v>0.42508243121006151</v>
      </c>
      <c r="R3" s="626">
        <f>IF(AVERAGE('CT (CTR)'!$H$142:'CT (CTR)'!$H$165)&lt;&gt;0,'CT (CTR)'!$H$149/AVERAGE('CT (CTR)'!$H$142:'CT (CTR)'!$H$165),0)</f>
        <v>0.415484490654147</v>
      </c>
      <c r="S3" s="626">
        <f>IF(AVERAGE('CT (CTR)'!$I$142:'CT (CTR)'!$I$165)&lt;&gt;0,'CT (CTR)'!$I$149/AVERAGE('CT (CTR)'!$I$142:'CT (CTR)'!$I$165),0)</f>
        <v>0.64762918006625159</v>
      </c>
      <c r="T3" s="626">
        <f>IF(AVERAGE('CT (CTR)'!$G$176:'CT (CTR)'!$G$199)&lt;&gt;0,'CT (CTR)'!$G$183/AVERAGE('CT (CTR)'!$G$176:'CT (CTR)'!$G$199),0)</f>
        <v>0.58587915206443031</v>
      </c>
      <c r="U3" s="626">
        <f>IF(AVERAGE('CT (CTR)'!$H$176:'CT (CTR)'!$H$199)&lt;&gt;0,'CT (CTR)'!$H$183/AVERAGE('CT (CTR)'!$H$176:'CT (CTR)'!$H$199),0)</f>
        <v>0.36789435845735613</v>
      </c>
      <c r="V3" s="626">
        <f>IF(AVERAGE('CT (CTR)'!$I$176:'CT (CTR)'!$I$199)&lt;&gt;0,'CT (CTR)'!$I$183/AVERAGE('CT (CTR)'!$I$176:'CT (CTR)'!$I$199),0)</f>
        <v>0.51979237665810363</v>
      </c>
      <c r="W3" s="626">
        <f>IF(AVERAGE('CT (CTR)'!$J$176:'CT (CTR)'!$J$199)&lt;&gt;0,'CT (CTR)'!$J$183/AVERAGE('CT (CTR)'!$J$176:'CT (CTR)'!$J$199),0)</f>
        <v>0.51900605885747297</v>
      </c>
      <c r="X3" s="626">
        <f>IF(AVERAGE('CT (CTR)'!$K$176:'CT (CTR)'!$K$199)&lt;&gt;0,'CT (CTR)'!$K$183/AVERAGE('CT (CTR)'!$K$176:'CT (CTR)'!$K$199),0)</f>
        <v>0.40370498786467879</v>
      </c>
      <c r="Y3" s="626">
        <f>IF(AVERAGE('CT (CTR)'!$L$176:'CT (CTR)'!$L$199)&lt;&gt;0,'CT (CTR)'!$L$183/AVERAGE('CT (CTR)'!$L$176:'CT (CTR)'!$L$199),0)</f>
        <v>0.48574883399550811</v>
      </c>
      <c r="Z3" s="626">
        <f>IF(AVERAGE('CT (CTR)'!$M$176:'CT (CTR)'!$M$199)&lt;&gt;0,'CT (CTR)'!$M$183/AVERAGE('CT (CTR)'!$M$176:'CT (CTR)'!$M$199),0)</f>
        <v>0.48837548942562492</v>
      </c>
      <c r="AA3" s="626">
        <f>IF(AVERAGE('CT (CTR)'!$N$176:'CT (CTR)'!$N$199)&lt;&gt;0,'CT (CTR)'!$N$183/AVERAGE('CT (CTR)'!$N$176:'CT (CTR)'!$N$199),0)</f>
        <v>0.60898153329602844</v>
      </c>
      <c r="AB3" s="626">
        <f>IF(AVERAGE('CT (CTR)'!$O$176:'CT (CTR)'!$O$199)&lt;&gt;0,'CT (CTR)'!$O$183/AVERAGE('CT (CTR)'!$O$176:'CT (CTR)'!$O$199),0)</f>
        <v>1.0736842105263169</v>
      </c>
      <c r="AC3" s="626">
        <f>IF(AVERAGE('CT (CTR)'!$P$176:'CT (CTR)'!$P$199)&lt;&gt;0,'CT (CTR)'!$P$183/AVERAGE('CT (CTR)'!$P$176:'CT (CTR)'!$P$199),0)</f>
        <v>0.65002870554861258</v>
      </c>
      <c r="AD3" s="626">
        <f>IF(AVERAGE('CT (CTR)'!$Q$176:'CT (CTR)'!$Q$199)&lt;&gt;0,'CT (CTR)'!$Q$183/AVERAGE('CT (CTR)'!$Q$176:'CT (CTR)'!$Q$199),0)</f>
        <v>1.4846304441788933</v>
      </c>
      <c r="AE3" s="626">
        <f>IF(AVERAGE('CT (CTR)'!$R$176:'CT (CTR)'!$R$199)&lt;&gt;0,'CT (CTR)'!$R$183/AVERAGE('CT (CTR)'!$R$176:'CT (CTR)'!$R$199),0)</f>
        <v>0.66154571420648489</v>
      </c>
      <c r="AF3" s="626">
        <f>IF(AVERAGE('CT (CTR)'!$S$176:'CT (CTR)'!$S$199)&lt;&gt;0,'CT (CTR)'!$S$183/AVERAGE('CT (CTR)'!$S$176:'CT (CTR)'!$S$199),0)</f>
        <v>0.993595019143379</v>
      </c>
      <c r="AG3" s="626">
        <f>IF(AVERAGE('CT (CTR)'!$G$244:'CT (CTR)'!$G$267)&lt;&gt;0,'CT (CTR)'!$G$251/AVERAGE('CT (CTR)'!$G$244:'CT (CTR)'!$G$267),0)</f>
        <v>0.95289265354747232</v>
      </c>
      <c r="AH3" s="626">
        <f>IF(AVERAGE('CT (CTR)'!$H$244:'CT (CTR)'!$H$267)&lt;&gt;0,'CT (CTR)'!$H$251/AVERAGE('CT (CTR)'!$H$244:'CT (CTR)'!$H$267),0)</f>
        <v>0.5039604318852019</v>
      </c>
      <c r="AI3" s="626">
        <f>IF(AVERAGE('CT (CTR)'!$I$244:'CT (CTR)'!$I$267)&lt;&gt;0,'CT (CTR)'!$I$251/AVERAGE('CT (CTR)'!$I$244:'CT (CTR)'!$I$267),0)</f>
        <v>0.22237759651954556</v>
      </c>
      <c r="AJ3" s="626">
        <f>IF(AVERAGE('CT (CTR)'!$J$244:'CT (CTR)'!$J$267)&lt;&gt;0,'CT (CTR)'!$J$251/AVERAGE('CT (CTR)'!$J$244:'CT (CTR)'!$J$267),0)</f>
        <v>0.12124237420505324</v>
      </c>
      <c r="AK3" s="626">
        <f>IF(AVERAGE('CT (CTR)'!$K$244:'CT (CTR)'!$K$267)&lt;&gt;0,'CT (CTR)'!$K$251/AVERAGE('CT (CTR)'!$K$244:'CT (CTR)'!$K$267),0)</f>
        <v>0.79988936523302712</v>
      </c>
      <c r="AL3" s="626">
        <f>IF(AVERAGE('CT (CTR)'!$L$244:'CT (CTR)'!$L$267)&lt;&gt;0,'CT (CTR)'!$L$251/AVERAGE('CT (CTR)'!$L$244:'CT (CTR)'!$L$267),0)</f>
        <v>0.954289786020733</v>
      </c>
      <c r="AM3" s="626">
        <f>IF(AVERAGE('CT (CTR)'!$M$244:'CT (CTR)'!$M$267)&lt;&gt;0,'CT (CTR)'!$M$251/AVERAGE('CT (CTR)'!$M$244:'CT (CTR)'!$M$267),0)</f>
        <v>0.47640498911911511</v>
      </c>
      <c r="AN3" s="626">
        <f>IF(AVERAGE('CT (CTR)'!$N$244:'CT (CTR)'!$N$267)&lt;&gt;0,'CT (CTR)'!$N$251/AVERAGE('CT (CTR)'!$N$244:'CT (CTR)'!$N$267),0)</f>
        <v>0.37801280885710298</v>
      </c>
      <c r="AO3" s="626">
        <f>IF(AVERAGE('CT (CTR)'!$O$244:'CT (CTR)'!$O$267)&lt;&gt;0,'CT (CTR)'!$O$251/AVERAGE('CT (CTR)'!$O$244:'CT (CTR)'!$O$267),0)</f>
        <v>0.73314444599545003</v>
      </c>
    </row>
    <row r="4" spans="1:41" x14ac:dyDescent="0.25">
      <c r="A4" s="625">
        <v>3</v>
      </c>
      <c r="B4" s="626">
        <f>IF(AVERAGE('CT (CTR)'!$G$6:'CT (CTR)'!$G$29)&lt;&gt;0,'CT (CTR)'!$G$14/AVERAGE('CT (CTR)'!$G$6:'CT (CTR)'!$G$29),0)</f>
        <v>2.0625410015307222</v>
      </c>
      <c r="C4" s="626">
        <f>IF(AVERAGE('CT (CTR)'!$G$40:'CT (CTR)'!$G$63)&lt;&gt;0,'CT (CTR)'!$G$48/AVERAGE('CT (CTR)'!$G$40:'CT (CTR)'!$G$63),0)</f>
        <v>0.31978860306673829</v>
      </c>
      <c r="D4" s="626">
        <f>IF(AVERAGE('CT (CTR)'!$H$40:'CT (CTR)'!$H$63)&lt;&gt;0,'CT (CTR)'!$H$48/AVERAGE('CT (CTR)'!$H$40:'CT (CTR)'!$H$63),0)</f>
        <v>0.68244238586575423</v>
      </c>
      <c r="E4" s="626">
        <f>IF(AVERAGE('CT (CTR)'!$I$40:'CT (CTR)'!$I$63)&lt;&gt;0,'CT (CTR)'!$I$48/AVERAGE('CT (CTR)'!$I$40:'CT (CTR)'!$I$63),0)</f>
        <v>0.17988468930172949</v>
      </c>
      <c r="F4" s="626">
        <f>IF(AVERAGE('CT (CTR)'!$J$40:'CT (CTR)'!$J$63)&lt;&gt;0,'CT (CTR)'!$J$48/AVERAGE('CT (CTR)'!$J$40:'CT (CTR)'!$J$63),0)</f>
        <v>0.39619540689901878</v>
      </c>
      <c r="G4" s="626">
        <f>IF(AVERAGE('CT (CTR)'!$K$40:'CT (CTR)'!$K$63)&lt;&gt;0,'CT (CTR)'!$K$48/AVERAGE('CT (CTR)'!$K$40:'CT (CTR)'!$K$63),0)</f>
        <v>0.76161816891412304</v>
      </c>
      <c r="H4" s="626">
        <f>IF(AVERAGE('CT (CTR)'!$L$40:'CT (CTR)'!$L$63)&lt;&gt;0,'CT (CTR)'!$L$48/AVERAGE('CT (CTR)'!$L$40:'CT (CTR)'!$L$63),0)</f>
        <v>0.34767758161977347</v>
      </c>
      <c r="I4" s="626">
        <f>IF(AVERAGE('CT (CTR)'!$M$40:'CT (CTR)'!$M$63)&lt;&gt;0,'CT (CTR)'!$M$48/AVERAGE('CT (CTR)'!$M$40:'CT (CTR)'!$M$63),0)</f>
        <v>0.81695549306940218</v>
      </c>
      <c r="J4" s="626">
        <f>IF(AVERAGE('CT (CTR)'!$N$40:'CT (CTR)'!$N$63)&lt;&gt;0,'CT (CTR)'!$N$48/AVERAGE('CT (CTR)'!$N$40:'CT (CTR)'!$N$63),0)</f>
        <v>0.52153331821185389</v>
      </c>
      <c r="K4" s="626">
        <f>IF(AVERAGE('CT (CTR)'!$O$40:'CT (CTR)'!$O$63)&lt;&gt;0,'CT (CTR)'!$O$48/AVERAGE('CT (CTR)'!$O$40:'CT (CTR)'!$O$63),0)</f>
        <v>1.7115068073848996</v>
      </c>
      <c r="L4" s="626">
        <f>IF(AVERAGE('CT (CTR)'!$P$40:'CT (CTR)'!$P$63)&lt;&gt;0,'CT (CTR)'!$P$48/AVERAGE('CT (CTR)'!$P$40:'CT (CTR)'!$P$63),0)</f>
        <v>5.8002683709275468E-4</v>
      </c>
      <c r="M4" s="626">
        <f>IF(AVERAGE('CT (CTR)'!$Q$40:'CT (CTR)'!$Q$63)&lt;&gt;0,'CT (CTR)'!$Q$48/AVERAGE('CT (CTR)'!$Q$40:'CT (CTR)'!$Q$63),0)</f>
        <v>0.43178807947019821</v>
      </c>
      <c r="N4" s="626">
        <f>IF(AVERAGE('CT (CTR)'!$R$40:'CT (CTR)'!$R$63)&lt;&gt;0,'CT (CTR)'!$R$48/AVERAGE('CT (CTR)'!$R$40:'CT (CTR)'!$R$63),0)</f>
        <v>0.83276636277044502</v>
      </c>
      <c r="O4" s="626">
        <f>IF(AVERAGE('CT (CTR)'!$S$40:'CT (CTR)'!$S$63)&lt;&gt;0,'CT (CTR)'!$S$48/AVERAGE('CT (CTR)'!$S$40:'CT (CTR)'!$S$63),0)</f>
        <v>0.18241496868310553</v>
      </c>
      <c r="P4" s="626">
        <f>IF(AVERAGE('CT (CTR)'!$T$40:'CT (CTR)'!$T$63)&lt;&gt;0,'CT (CTR)'!$T$48/AVERAGE('CT (CTR)'!$T$40:'CT (CTR)'!$T$63),0)</f>
        <v>0.52401979275301325</v>
      </c>
      <c r="Q4" s="626">
        <f>IF(AVERAGE('CT (CTR)'!$G$142:'CT (CTR)'!$G$165)&lt;&gt;0,'CT (CTR)'!$G$150/AVERAGE('CT (CTR)'!$G$142:'CT (CTR)'!$G$165),0)</f>
        <v>0.52662601032943368</v>
      </c>
      <c r="R4" s="626">
        <f>IF(AVERAGE('CT (CTR)'!$H$142:'CT (CTR)'!$H$165)&lt;&gt;0,'CT (CTR)'!$H$150/AVERAGE('CT (CTR)'!$H$142:'CT (CTR)'!$H$165),0)</f>
        <v>0.34335176658224698</v>
      </c>
      <c r="S4" s="626">
        <f>IF(AVERAGE('CT (CTR)'!$I$142:'CT (CTR)'!$I$165)&lt;&gt;0,'CT (CTR)'!$I$150/AVERAGE('CT (CTR)'!$I$142:'CT (CTR)'!$I$165),0)</f>
        <v>0.68244795318809381</v>
      </c>
      <c r="T4" s="626">
        <f>IF(AVERAGE('CT (CTR)'!$G$176:'CT (CTR)'!$G$199)&lt;&gt;0,'CT (CTR)'!$G$184/AVERAGE('CT (CTR)'!$G$176:'CT (CTR)'!$G$199),0)</f>
        <v>0.53859944684186245</v>
      </c>
      <c r="U4" s="626">
        <f>IF(AVERAGE('CT (CTR)'!$H$176:'CT (CTR)'!$H$199)&lt;&gt;0,'CT (CTR)'!$H$184/AVERAGE('CT (CTR)'!$H$176:'CT (CTR)'!$H$199),0)</f>
        <v>0.21141530248816218</v>
      </c>
      <c r="V4" s="626">
        <f>IF(AVERAGE('CT (CTR)'!$I$176:'CT (CTR)'!$I$199)&lt;&gt;0,'CT (CTR)'!$I$184/AVERAGE('CT (CTR)'!$I$176:'CT (CTR)'!$I$199),0)</f>
        <v>0.50364389451056446</v>
      </c>
      <c r="W4" s="626">
        <f>IF(AVERAGE('CT (CTR)'!$J$176:'CT (CTR)'!$J$199)&lt;&gt;0,'CT (CTR)'!$J$184/AVERAGE('CT (CTR)'!$J$176:'CT (CTR)'!$J$199),0)</f>
        <v>0.4913084246970576</v>
      </c>
      <c r="X4" s="626">
        <f>IF(AVERAGE('CT (CTR)'!$K$176:'CT (CTR)'!$K$199)&lt;&gt;0,'CT (CTR)'!$K$184/AVERAGE('CT (CTR)'!$K$176:'CT (CTR)'!$K$199),0)</f>
        <v>0.36439645351429006</v>
      </c>
      <c r="Y4" s="626">
        <f>IF(AVERAGE('CT (CTR)'!$L$176:'CT (CTR)'!$L$199)&lt;&gt;0,'CT (CTR)'!$L$184/AVERAGE('CT (CTR)'!$L$176:'CT (CTR)'!$L$199),0)</f>
        <v>1.5280704784936932</v>
      </c>
      <c r="Z4" s="626">
        <f>IF(AVERAGE('CT (CTR)'!$M$176:'CT (CTR)'!$M$199)&lt;&gt;0,'CT (CTR)'!$M$184/AVERAGE('CT (CTR)'!$M$176:'CT (CTR)'!$M$199),0)</f>
        <v>0.4564958863906638</v>
      </c>
      <c r="AA4" s="626">
        <f>IF(AVERAGE('CT (CTR)'!$N$176:'CT (CTR)'!$N$199)&lt;&gt;0,'CT (CTR)'!$N$184/AVERAGE('CT (CTR)'!$N$176:'CT (CTR)'!$N$199),0)</f>
        <v>0.62367095691102536</v>
      </c>
      <c r="AB4" s="626">
        <f>IF(AVERAGE('CT (CTR)'!$O$176:'CT (CTR)'!$O$199)&lt;&gt;0,'CT (CTR)'!$O$184/AVERAGE('CT (CTR)'!$O$176:'CT (CTR)'!$O$199),0)</f>
        <v>0.8641148325358865</v>
      </c>
      <c r="AC4" s="626">
        <f>IF(AVERAGE('CT (CTR)'!$P$176:'CT (CTR)'!$P$199)&lt;&gt;0,'CT (CTR)'!$P$184/AVERAGE('CT (CTR)'!$P$176:'CT (CTR)'!$P$199),0)</f>
        <v>0.55074127857890776</v>
      </c>
      <c r="AD4" s="626">
        <f>IF(AVERAGE('CT (CTR)'!$Q$176:'CT (CTR)'!$Q$199)&lt;&gt;0,'CT (CTR)'!$Q$184/AVERAGE('CT (CTR)'!$Q$176:'CT (CTR)'!$Q$199),0)</f>
        <v>1.4309323434441057</v>
      </c>
      <c r="AE4" s="626">
        <f>IF(AVERAGE('CT (CTR)'!$R$176:'CT (CTR)'!$R$199)&lt;&gt;0,'CT (CTR)'!$R$184/AVERAGE('CT (CTR)'!$R$176:'CT (CTR)'!$R$199),0)</f>
        <v>0.5450763983250595</v>
      </c>
      <c r="AF4" s="626">
        <f>IF(AVERAGE('CT (CTR)'!$S$176:'CT (CTR)'!$S$199)&lt;&gt;0,'CT (CTR)'!$S$184/AVERAGE('CT (CTR)'!$S$176:'CT (CTR)'!$S$199),0)</f>
        <v>0.89483665509714538</v>
      </c>
      <c r="AG4" s="626">
        <f>IF(AVERAGE('CT (CTR)'!$G$244:'CT (CTR)'!$G$267)&lt;&gt;0,'CT (CTR)'!$G$252/AVERAGE('CT (CTR)'!$G$244:'CT (CTR)'!$G$267),0)</f>
        <v>0.94281351119517731</v>
      </c>
      <c r="AH4" s="626">
        <f>IF(AVERAGE('CT (CTR)'!$H$244:'CT (CTR)'!$H$267)&lt;&gt;0,'CT (CTR)'!$H$252/AVERAGE('CT (CTR)'!$H$244:'CT (CTR)'!$H$267),0)</f>
        <v>0.48963472243333356</v>
      </c>
      <c r="AI4" s="626">
        <f>IF(AVERAGE('CT (CTR)'!$I$244:'CT (CTR)'!$I$267)&lt;&gt;0,'CT (CTR)'!$I$252/AVERAGE('CT (CTR)'!$I$244:'CT (CTR)'!$I$267),0)</f>
        <v>0.20956842811949589</v>
      </c>
      <c r="AJ4" s="626">
        <f>IF(AVERAGE('CT (CTR)'!$J$244:'CT (CTR)'!$J$267)&lt;&gt;0,'CT (CTR)'!$J$252/AVERAGE('CT (CTR)'!$J$244:'CT (CTR)'!$J$267),0)</f>
        <v>0.13377007531601481</v>
      </c>
      <c r="AK4" s="626">
        <f>IF(AVERAGE('CT (CTR)'!$K$244:'CT (CTR)'!$K$267)&lt;&gt;0,'CT (CTR)'!$K$252/AVERAGE('CT (CTR)'!$K$244:'CT (CTR)'!$K$267),0)</f>
        <v>0.73682754805697759</v>
      </c>
      <c r="AL4" s="626">
        <f>IF(AVERAGE('CT (CTR)'!$L$244:'CT (CTR)'!$L$267)&lt;&gt;0,'CT (CTR)'!$L$252/AVERAGE('CT (CTR)'!$L$244:'CT (CTR)'!$L$267),0)</f>
        <v>0.90956761682498577</v>
      </c>
      <c r="AM4" s="626">
        <f>IF(AVERAGE('CT (CTR)'!$M$244:'CT (CTR)'!$M$267)&lt;&gt;0,'CT (CTR)'!$M$252/AVERAGE('CT (CTR)'!$M$244:'CT (CTR)'!$M$267),0)</f>
        <v>0.46471967958542509</v>
      </c>
      <c r="AN4" s="626">
        <f>IF(AVERAGE('CT (CTR)'!$N$244:'CT (CTR)'!$N$267)&lt;&gt;0,'CT (CTR)'!$N$252/AVERAGE('CT (CTR)'!$N$244:'CT (CTR)'!$N$267),0)</f>
        <v>0.38420510333959668</v>
      </c>
      <c r="AO4" s="626">
        <f>IF(AVERAGE('CT (CTR)'!$O$244:'CT (CTR)'!$O$267)&lt;&gt;0,'CT (CTR)'!$O$252/AVERAGE('CT (CTR)'!$O$244:'CT (CTR)'!$O$267),0)</f>
        <v>0.73287281040967889</v>
      </c>
    </row>
    <row r="5" spans="1:41" x14ac:dyDescent="0.25">
      <c r="A5" s="625">
        <v>4</v>
      </c>
      <c r="B5" s="626">
        <f>IF(AVERAGE('CT (CTR)'!$G$6:'CT (CTR)'!$G$29)&lt;&gt;0,'CT (CTR)'!$G$15/AVERAGE('CT (CTR)'!$G$6:'CT (CTR)'!$G$29),0)</f>
        <v>2.0625410015307222</v>
      </c>
      <c r="C5" s="626">
        <f>IF(AVERAGE('CT (CTR)'!$G$40:'CT (CTR)'!$G$63)&lt;&gt;0,'CT (CTR)'!$G$49/AVERAGE('CT (CTR)'!$G$40:'CT (CTR)'!$G$63),0)</f>
        <v>0.32027259899961213</v>
      </c>
      <c r="D5" s="626">
        <f>IF(AVERAGE('CT (CTR)'!$H$40:'CT (CTR)'!$H$63)&lt;&gt;0,'CT (CTR)'!$H$49/AVERAGE('CT (CTR)'!$H$40:'CT (CTR)'!$H$63),0)</f>
        <v>0.66376544153701111</v>
      </c>
      <c r="E5" s="626">
        <f>IF(AVERAGE('CT (CTR)'!$I$40:'CT (CTR)'!$I$63)&lt;&gt;0,'CT (CTR)'!$I$49/AVERAGE('CT (CTR)'!$I$40:'CT (CTR)'!$I$63),0)</f>
        <v>0.1784775078991086</v>
      </c>
      <c r="F5" s="626">
        <f>IF(AVERAGE('CT (CTR)'!$J$40:'CT (CTR)'!$J$63)&lt;&gt;0,'CT (CTR)'!$J$49/AVERAGE('CT (CTR)'!$J$40:'CT (CTR)'!$J$63),0)</f>
        <v>0.38386539165680311</v>
      </c>
      <c r="G5" s="626">
        <f>IF(AVERAGE('CT (CTR)'!$K$40:'CT (CTR)'!$K$63)&lt;&gt;0,'CT (CTR)'!$K$49/AVERAGE('CT (CTR)'!$K$40:'CT (CTR)'!$K$63),0)</f>
        <v>0.82895670688431478</v>
      </c>
      <c r="H5" s="626">
        <f>IF(AVERAGE('CT (CTR)'!$L$40:'CT (CTR)'!$L$63)&lt;&gt;0,'CT (CTR)'!$L$49/AVERAGE('CT (CTR)'!$L$40:'CT (CTR)'!$L$63),0)</f>
        <v>0.33228490619156226</v>
      </c>
      <c r="I5" s="626">
        <f>IF(AVERAGE('CT (CTR)'!$M$40:'CT (CTR)'!$M$63)&lt;&gt;0,'CT (CTR)'!$M$49/AVERAGE('CT (CTR)'!$M$40:'CT (CTR)'!$M$63),0)</f>
        <v>0.79555054565273919</v>
      </c>
      <c r="J5" s="626">
        <f>IF(AVERAGE('CT (CTR)'!$N$40:'CT (CTR)'!$N$63)&lt;&gt;0,'CT (CTR)'!$N$49/AVERAGE('CT (CTR)'!$N$40:'CT (CTR)'!$N$63),0)</f>
        <v>0.51545842743168202</v>
      </c>
      <c r="K5" s="626">
        <f>IF(AVERAGE('CT (CTR)'!$O$40:'CT (CTR)'!$O$63)&lt;&gt;0,'CT (CTR)'!$O$49/AVERAGE('CT (CTR)'!$O$40:'CT (CTR)'!$O$63),0)</f>
        <v>1.2996717338139123</v>
      </c>
      <c r="L5" s="626">
        <f>IF(AVERAGE('CT (CTR)'!$P$40:'CT (CTR)'!$P$63)&lt;&gt;0,'CT (CTR)'!$P$49/AVERAGE('CT (CTR)'!$P$40:'CT (CTR)'!$P$63),0)</f>
        <v>5.8002683709275468E-4</v>
      </c>
      <c r="M5" s="626">
        <f>IF(AVERAGE('CT (CTR)'!$Q$40:'CT (CTR)'!$Q$63)&lt;&gt;0,'CT (CTR)'!$Q$49/AVERAGE('CT (CTR)'!$Q$40:'CT (CTR)'!$Q$63),0)</f>
        <v>0.43484462557310272</v>
      </c>
      <c r="N5" s="626">
        <f>IF(AVERAGE('CT (CTR)'!$R$40:'CT (CTR)'!$R$63)&lt;&gt;0,'CT (CTR)'!$R$49/AVERAGE('CT (CTR)'!$R$40:'CT (CTR)'!$R$63),0)</f>
        <v>0.86449079563789133</v>
      </c>
      <c r="O5" s="626">
        <f>IF(AVERAGE('CT (CTR)'!$S$40:'CT (CTR)'!$S$63)&lt;&gt;0,'CT (CTR)'!$S$49/AVERAGE('CT (CTR)'!$S$40:'CT (CTR)'!$S$63),0)</f>
        <v>0.21932926345833653</v>
      </c>
      <c r="P5" s="626">
        <f>IF(AVERAGE('CT (CTR)'!$T$40:'CT (CTR)'!$T$63)&lt;&gt;0,'CT (CTR)'!$T$49/AVERAGE('CT (CTR)'!$T$40:'CT (CTR)'!$T$63),0)</f>
        <v>0.63505447444915164</v>
      </c>
      <c r="Q5" s="626">
        <f>IF(AVERAGE('CT (CTR)'!$G$142:'CT (CTR)'!$G$165)&lt;&gt;0,'CT (CTR)'!$G$151/AVERAGE('CT (CTR)'!$G$142:'CT (CTR)'!$G$165),0)</f>
        <v>0.51051909777946392</v>
      </c>
      <c r="R5" s="626">
        <f>IF(AVERAGE('CT (CTR)'!$H$142:'CT (CTR)'!$H$165)&lt;&gt;0,'CT (CTR)'!$H$151/AVERAGE('CT (CTR)'!$H$142:'CT (CTR)'!$H$165),0)</f>
        <v>0.40105794583976778</v>
      </c>
      <c r="S5" s="626">
        <f>IF(AVERAGE('CT (CTR)'!$I$142:'CT (CTR)'!$I$165)&lt;&gt;0,'CT (CTR)'!$I$151/AVERAGE('CT (CTR)'!$I$142:'CT (CTR)'!$I$165),0)</f>
        <v>0.67548419856372544</v>
      </c>
      <c r="T5" s="626">
        <f>IF(AVERAGE('CT (CTR)'!$G$176:'CT (CTR)'!$G$199)&lt;&gt;0,'CT (CTR)'!$G$185/AVERAGE('CT (CTR)'!$G$176:'CT (CTR)'!$G$199),0)</f>
        <v>0.50184235894017071</v>
      </c>
      <c r="U5" s="626">
        <f>IF(AVERAGE('CT (CTR)'!$H$176:'CT (CTR)'!$H$199)&lt;&gt;0,'CT (CTR)'!$H$185/AVERAGE('CT (CTR)'!$H$176:'CT (CTR)'!$H$199),0)</f>
        <v>0.23124788245890954</v>
      </c>
      <c r="V5" s="626">
        <f>IF(AVERAGE('CT (CTR)'!$I$176:'CT (CTR)'!$I$199)&lt;&gt;0,'CT (CTR)'!$I$185/AVERAGE('CT (CTR)'!$I$176:'CT (CTR)'!$I$199),0)</f>
        <v>0.49934462328946644</v>
      </c>
      <c r="W5" s="626">
        <f>IF(AVERAGE('CT (CTR)'!$J$176:'CT (CTR)'!$J$199)&lt;&gt;0,'CT (CTR)'!$J$185/AVERAGE('CT (CTR)'!$J$176:'CT (CTR)'!$J$199),0)</f>
        <v>0.43948355452971705</v>
      </c>
      <c r="X5" s="626">
        <f>IF(AVERAGE('CT (CTR)'!$K$176:'CT (CTR)'!$K$199)&lt;&gt;0,'CT (CTR)'!$K$185/AVERAGE('CT (CTR)'!$K$176:'CT (CTR)'!$K$199),0)</f>
        <v>0.35773936301946607</v>
      </c>
      <c r="Y5" s="626">
        <f>IF(AVERAGE('CT (CTR)'!$L$176:'CT (CTR)'!$L$199)&lt;&gt;0,'CT (CTR)'!$L$185/AVERAGE('CT (CTR)'!$L$176:'CT (CTR)'!$L$199),0)</f>
        <v>1.2520297115218524</v>
      </c>
      <c r="Z5" s="626">
        <f>IF(AVERAGE('CT (CTR)'!$M$176:'CT (CTR)'!$M$199)&lt;&gt;0,'CT (CTR)'!$M$185/AVERAGE('CT (CTR)'!$M$176:'CT (CTR)'!$M$199),0)</f>
        <v>0.41844065344840831</v>
      </c>
      <c r="AA5" s="626">
        <f>IF(AVERAGE('CT (CTR)'!$N$176:'CT (CTR)'!$N$199)&lt;&gt;0,'CT (CTR)'!$N$185/AVERAGE('CT (CTR)'!$N$176:'CT (CTR)'!$N$199),0)</f>
        <v>0.57456631225517674</v>
      </c>
      <c r="AB5" s="626">
        <f>IF(AVERAGE('CT (CTR)'!$O$176:'CT (CTR)'!$O$199)&lt;&gt;0,'CT (CTR)'!$O$185/AVERAGE('CT (CTR)'!$O$176:'CT (CTR)'!$O$199),0)</f>
        <v>0.79644565960355374</v>
      </c>
      <c r="AC5" s="626">
        <f>IF(AVERAGE('CT (CTR)'!$P$176:'CT (CTR)'!$P$199)&lt;&gt;0,'CT (CTR)'!$P$185/AVERAGE('CT (CTR)'!$P$176:'CT (CTR)'!$P$199),0)</f>
        <v>0.62611867211509098</v>
      </c>
      <c r="AD5" s="626">
        <f>IF(AVERAGE('CT (CTR)'!$Q$176:'CT (CTR)'!$Q$199)&lt;&gt;0,'CT (CTR)'!$Q$185/AVERAGE('CT (CTR)'!$Q$176:'CT (CTR)'!$Q$199),0)</f>
        <v>1.3821158882306579</v>
      </c>
      <c r="AE5" s="626">
        <f>IF(AVERAGE('CT (CTR)'!$R$176:'CT (CTR)'!$R$199)&lt;&gt;0,'CT (CTR)'!$R$185/AVERAGE('CT (CTR)'!$R$176:'CT (CTR)'!$R$199),0)</f>
        <v>0.55639056043925483</v>
      </c>
      <c r="AF5" s="626">
        <f>IF(AVERAGE('CT (CTR)'!$S$176:'CT (CTR)'!$S$199)&lt;&gt;0,'CT (CTR)'!$S$185/AVERAGE('CT (CTR)'!$S$176:'CT (CTR)'!$S$199),0)</f>
        <v>0.91372955952338342</v>
      </c>
      <c r="AG5" s="626">
        <f>IF(AVERAGE('CT (CTR)'!$G$244:'CT (CTR)'!$G$267)&lt;&gt;0,'CT (CTR)'!$G$253/AVERAGE('CT (CTR)'!$G$244:'CT (CTR)'!$G$267),0)</f>
        <v>0.90376203154500878</v>
      </c>
      <c r="AH5" s="626">
        <f>IF(AVERAGE('CT (CTR)'!$H$244:'CT (CTR)'!$H$267)&lt;&gt;0,'CT (CTR)'!$H$253/AVERAGE('CT (CTR)'!$H$244:'CT (CTR)'!$H$267),0)</f>
        <v>0.48929245542366934</v>
      </c>
      <c r="AI5" s="626">
        <f>IF(AVERAGE('CT (CTR)'!$I$244:'CT (CTR)'!$I$267)&lt;&gt;0,'CT (CTR)'!$I$253/AVERAGE('CT (CTR)'!$I$244:'CT (CTR)'!$I$267),0)</f>
        <v>0.2069649256771228</v>
      </c>
      <c r="AJ5" s="626">
        <f>IF(AVERAGE('CT (CTR)'!$J$244:'CT (CTR)'!$J$267)&lt;&gt;0,'CT (CTR)'!$J$253/AVERAGE('CT (CTR)'!$J$244:'CT (CTR)'!$J$267),0)</f>
        <v>0.13054520984116616</v>
      </c>
      <c r="AK5" s="626">
        <f>IF(AVERAGE('CT (CTR)'!$K$244:'CT (CTR)'!$K$267)&lt;&gt;0,'CT (CTR)'!$K$253/AVERAGE('CT (CTR)'!$K$244:'CT (CTR)'!$K$267),0)</f>
        <v>0.73018946203844559</v>
      </c>
      <c r="AL5" s="626">
        <f>IF(AVERAGE('CT (CTR)'!$L$244:'CT (CTR)'!$L$267)&lt;&gt;0,'CT (CTR)'!$L$253/AVERAGE('CT (CTR)'!$L$244:'CT (CTR)'!$L$267),0)</f>
        <v>0.92862512261333818</v>
      </c>
      <c r="AM5" s="626">
        <f>IF(AVERAGE('CT (CTR)'!$M$244:'CT (CTR)'!$M$267)&lt;&gt;0,'CT (CTR)'!$M$253/AVERAGE('CT (CTR)'!$M$244:'CT (CTR)'!$M$267),0)</f>
        <v>0.47152764253113949</v>
      </c>
      <c r="AN5" s="626">
        <f>IF(AVERAGE('CT (CTR)'!$N$244:'CT (CTR)'!$N$267)&lt;&gt;0,'CT (CTR)'!$N$253/AVERAGE('CT (CTR)'!$N$244:'CT (CTR)'!$N$267),0)</f>
        <v>0.39314167188583893</v>
      </c>
      <c r="AO5" s="626">
        <f>IF(AVERAGE('CT (CTR)'!$O$244:'CT (CTR)'!$O$267)&lt;&gt;0,'CT (CTR)'!$O$253/AVERAGE('CT (CTR)'!$O$244:'CT (CTR)'!$O$267),0)</f>
        <v>0.62512402805391953</v>
      </c>
    </row>
    <row r="6" spans="1:41" x14ac:dyDescent="0.25">
      <c r="A6" s="625">
        <v>5</v>
      </c>
      <c r="B6" s="626">
        <f>IF(AVERAGE('CT (CTR)'!$G$6:'CT (CTR)'!$G$29)&lt;&gt;0,'CT (CTR)'!$G$16/AVERAGE('CT (CTR)'!$G$6:'CT (CTR)'!$G$29),0)</f>
        <v>2.0625410015307222</v>
      </c>
      <c r="C6" s="626">
        <f>IF(AVERAGE('CT (CTR)'!$G$40:'CT (CTR)'!$G$63)&lt;&gt;0,'CT (CTR)'!$G$50/AVERAGE('CT (CTR)'!$G$40:'CT (CTR)'!$G$63),0)</f>
        <v>0.3172749467702049</v>
      </c>
      <c r="D6" s="626">
        <f>IF(AVERAGE('CT (CTR)'!$H$40:'CT (CTR)'!$H$63)&lt;&gt;0,'CT (CTR)'!$H$50/AVERAGE('CT (CTR)'!$H$40:'CT (CTR)'!$H$63),0)</f>
        <v>0.67740619085027942</v>
      </c>
      <c r="E6" s="626">
        <f>IF(AVERAGE('CT (CTR)'!$I$40:'CT (CTR)'!$I$63)&lt;&gt;0,'CT (CTR)'!$I$50/AVERAGE('CT (CTR)'!$I$40:'CT (CTR)'!$I$63),0)</f>
        <v>0.18113551721517063</v>
      </c>
      <c r="F6" s="626">
        <f>IF(AVERAGE('CT (CTR)'!$J$40:'CT (CTR)'!$J$63)&lt;&gt;0,'CT (CTR)'!$J$50/AVERAGE('CT (CTR)'!$J$40:'CT (CTR)'!$J$63),0)</f>
        <v>0.3945604877508791</v>
      </c>
      <c r="G6" s="626">
        <f>IF(AVERAGE('CT (CTR)'!$K$40:'CT (CTR)'!$K$63)&lt;&gt;0,'CT (CTR)'!$K$50/AVERAGE('CT (CTR)'!$K$40:'CT (CTR)'!$K$63),0)</f>
        <v>0.84956706884315203</v>
      </c>
      <c r="H6" s="626">
        <f>IF(AVERAGE('CT (CTR)'!$L$40:'CT (CTR)'!$L$63)&lt;&gt;0,'CT (CTR)'!$L$50/AVERAGE('CT (CTR)'!$L$40:'CT (CTR)'!$L$63),0)</f>
        <v>0.30472127809918376</v>
      </c>
      <c r="I6" s="626">
        <f>IF(AVERAGE('CT (CTR)'!$M$40:'CT (CTR)'!$M$63)&lt;&gt;0,'CT (CTR)'!$M$50/AVERAGE('CT (CTR)'!$M$40:'CT (CTR)'!$M$63),0)</f>
        <v>0.79941532782519287</v>
      </c>
      <c r="J6" s="626">
        <f>IF(AVERAGE('CT (CTR)'!$N$40:'CT (CTR)'!$N$63)&lt;&gt;0,'CT (CTR)'!$N$50/AVERAGE('CT (CTR)'!$N$40:'CT (CTR)'!$N$63),0)</f>
        <v>0.4641768818847945</v>
      </c>
      <c r="K6" s="626">
        <f>IF(AVERAGE('CT (CTR)'!$O$40:'CT (CTR)'!$O$63)&lt;&gt;0,'CT (CTR)'!$O$50/AVERAGE('CT (CTR)'!$O$40:'CT (CTR)'!$O$63),0)</f>
        <v>1.3226097630299227</v>
      </c>
      <c r="L6" s="626">
        <f>IF(AVERAGE('CT (CTR)'!$P$40:'CT (CTR)'!$P$63)&lt;&gt;0,'CT (CTR)'!$P$50/AVERAGE('CT (CTR)'!$P$40:'CT (CTR)'!$P$63),0)</f>
        <v>3.8668455806183685E-4</v>
      </c>
      <c r="M6" s="626">
        <f>IF(AVERAGE('CT (CTR)'!$Q$40:'CT (CTR)'!$Q$63)&lt;&gt;0,'CT (CTR)'!$Q$50/AVERAGE('CT (CTR)'!$Q$40:'CT (CTR)'!$Q$63),0)</f>
        <v>0.44666327050432936</v>
      </c>
      <c r="N6" s="626">
        <f>IF(AVERAGE('CT (CTR)'!$R$40:'CT (CTR)'!$R$63)&lt;&gt;0,'CT (CTR)'!$R$50/AVERAGE('CT (CTR)'!$R$40:'CT (CTR)'!$R$63),0)</f>
        <v>0.78914526757770831</v>
      </c>
      <c r="O6" s="626">
        <f>IF(AVERAGE('CT (CTR)'!$S$40:'CT (CTR)'!$S$63)&lt;&gt;0,'CT (CTR)'!$S$50/AVERAGE('CT (CTR)'!$S$40:'CT (CTR)'!$S$63),0)</f>
        <v>1.0592246095298496</v>
      </c>
      <c r="P6" s="626">
        <f>IF(AVERAGE('CT (CTR)'!$T$40:'CT (CTR)'!$T$63)&lt;&gt;0,'CT (CTR)'!$T$50/AVERAGE('CT (CTR)'!$T$40:'CT (CTR)'!$T$63),0)</f>
        <v>1.0712050946368745</v>
      </c>
      <c r="Q6" s="626">
        <f>IF(AVERAGE('CT (CTR)'!$G$142:'CT (CTR)'!$G$165)&lt;&gt;0,'CT (CTR)'!$G$152/AVERAGE('CT (CTR)'!$G$142:'CT (CTR)'!$G$165),0)</f>
        <v>0.50351609232295513</v>
      </c>
      <c r="R6" s="626">
        <f>IF(AVERAGE('CT (CTR)'!$H$142:'CT (CTR)'!$H$165)&lt;&gt;0,'CT (CTR)'!$H$152/AVERAGE('CT (CTR)'!$H$142:'CT (CTR)'!$H$165),0)</f>
        <v>0.415484490654147</v>
      </c>
      <c r="S6" s="626">
        <f>IF(AVERAGE('CT (CTR)'!$I$142:'CT (CTR)'!$I$165)&lt;&gt;0,'CT (CTR)'!$I$152/AVERAGE('CT (CTR)'!$I$142:'CT (CTR)'!$I$165),0)</f>
        <v>0.63428198370287947</v>
      </c>
      <c r="T6" s="626">
        <f>IF(AVERAGE('CT (CTR)'!$G$176:'CT (CTR)'!$G$199)&lt;&gt;0,'CT (CTR)'!$G$186/AVERAGE('CT (CTR)'!$G$176:'CT (CTR)'!$G$199),0)</f>
        <v>0.46645465274461928</v>
      </c>
      <c r="U6" s="626">
        <f>IF(AVERAGE('CT (CTR)'!$H$176:'CT (CTR)'!$H$199)&lt;&gt;0,'CT (CTR)'!$H$186/AVERAGE('CT (CTR)'!$H$176:'CT (CTR)'!$H$199),0)</f>
        <v>0.2118119540875783</v>
      </c>
      <c r="V6" s="626">
        <f>IF(AVERAGE('CT (CTR)'!$I$176:'CT (CTR)'!$I$199)&lt;&gt;0,'CT (CTR)'!$I$186/AVERAGE('CT (CTR)'!$I$176:'CT (CTR)'!$I$199),0)</f>
        <v>0.56467257379541791</v>
      </c>
      <c r="W6" s="626">
        <f>IF(AVERAGE('CT (CTR)'!$J$176:'CT (CTR)'!$J$199)&lt;&gt;0,'CT (CTR)'!$J$186/AVERAGE('CT (CTR)'!$J$176:'CT (CTR)'!$J$199),0)</f>
        <v>0.44987016733987345</v>
      </c>
      <c r="X6" s="626">
        <f>IF(AVERAGE('CT (CTR)'!$K$176:'CT (CTR)'!$K$199)&lt;&gt;0,'CT (CTR)'!$K$186/AVERAGE('CT (CTR)'!$K$176:'CT (CTR)'!$K$199),0)</f>
        <v>0.32096686314329614</v>
      </c>
      <c r="Y6" s="626">
        <f>IF(AVERAGE('CT (CTR)'!$L$176:'CT (CTR)'!$L$199)&lt;&gt;0,'CT (CTR)'!$L$186/AVERAGE('CT (CTR)'!$L$176:'CT (CTR)'!$L$199),0)</f>
        <v>1.1794783209535322</v>
      </c>
      <c r="Z6" s="626">
        <f>IF(AVERAGE('CT (CTR)'!$M$176:'CT (CTR)'!$M$199)&lt;&gt;0,'CT (CTR)'!$M$186/AVERAGE('CT (CTR)'!$M$176:'CT (CTR)'!$M$199),0)</f>
        <v>0.43012427759734645</v>
      </c>
      <c r="AA6" s="626">
        <f>IF(AVERAGE('CT (CTR)'!$N$176:'CT (CTR)'!$N$199)&lt;&gt;0,'CT (CTR)'!$N$186/AVERAGE('CT (CTR)'!$N$176:'CT (CTR)'!$N$199),0)</f>
        <v>0.65850587576944808</v>
      </c>
      <c r="AB6" s="626">
        <f>IF(AVERAGE('CT (CTR)'!$O$176:'CT (CTR)'!$O$199)&lt;&gt;0,'CT (CTR)'!$O$186/AVERAGE('CT (CTR)'!$O$176:'CT (CTR)'!$O$199),0)</f>
        <v>0.63650034176349846</v>
      </c>
      <c r="AC6" s="626">
        <f>IF(AVERAGE('CT (CTR)'!$P$176:'CT (CTR)'!$P$199)&lt;&gt;0,'CT (CTR)'!$P$186/AVERAGE('CT (CTR)'!$P$176:'CT (CTR)'!$P$199),0)</f>
        <v>0.53898888926412425</v>
      </c>
      <c r="AD6" s="626">
        <f>IF(AVERAGE('CT (CTR)'!$Q$176:'CT (CTR)'!$Q$199)&lt;&gt;0,'CT (CTR)'!$Q$186/AVERAGE('CT (CTR)'!$Q$176:'CT (CTR)'!$Q$199),0)</f>
        <v>1.2466502250133487</v>
      </c>
      <c r="AE6" s="626">
        <f>IF(AVERAGE('CT (CTR)'!$R$176:'CT (CTR)'!$R$199)&lt;&gt;0,'CT (CTR)'!$R$186/AVERAGE('CT (CTR)'!$R$176:'CT (CTR)'!$R$199),0)</f>
        <v>0.49915421092038609</v>
      </c>
      <c r="AF6" s="626">
        <f>IF(AVERAGE('CT (CTR)'!$S$176:'CT (CTR)'!$S$199)&lt;&gt;0,'CT (CTR)'!$S$186/AVERAGE('CT (CTR)'!$S$176:'CT (CTR)'!$S$199),0)</f>
        <v>0.83472286828639797</v>
      </c>
      <c r="AG6" s="626">
        <f>IF(AVERAGE('CT (CTR)'!$G$244:'CT (CTR)'!$G$267)&lt;&gt;0,'CT (CTR)'!$G$254/AVERAGE('CT (CTR)'!$G$244:'CT (CTR)'!$G$267),0)</f>
        <v>0.91472294465746273</v>
      </c>
      <c r="AH6" s="626">
        <f>IF(AVERAGE('CT (CTR)'!$H$244:'CT (CTR)'!$H$267)&lt;&gt;0,'CT (CTR)'!$H$254/AVERAGE('CT (CTR)'!$H$244:'CT (CTR)'!$H$267),0)</f>
        <v>0.48930099076056899</v>
      </c>
      <c r="AI6" s="626">
        <f>IF(AVERAGE('CT (CTR)'!$I$244:'CT (CTR)'!$I$267)&lt;&gt;0,'CT (CTR)'!$I$254/AVERAGE('CT (CTR)'!$I$244:'CT (CTR)'!$I$267),0)</f>
        <v>0.24354596396487022</v>
      </c>
      <c r="AJ6" s="626">
        <f>IF(AVERAGE('CT (CTR)'!$J$244:'CT (CTR)'!$J$267)&lt;&gt;0,'CT (CTR)'!$J$254/AVERAGE('CT (CTR)'!$J$244:'CT (CTR)'!$J$267),0)</f>
        <v>0.16527099353636701</v>
      </c>
      <c r="AK6" s="626">
        <f>IF(AVERAGE('CT (CTR)'!$K$244:'CT (CTR)'!$K$267)&lt;&gt;0,'CT (CTR)'!$K$254/AVERAGE('CT (CTR)'!$K$244:'CT (CTR)'!$K$267),0)</f>
        <v>0.73018946203844559</v>
      </c>
      <c r="AL6" s="626">
        <f>IF(AVERAGE('CT (CTR)'!$L$244:'CT (CTR)'!$L$267)&lt;&gt;0,'CT (CTR)'!$L$254/AVERAGE('CT (CTR)'!$L$244:'CT (CTR)'!$L$267),0)</f>
        <v>0.9261526473725753</v>
      </c>
      <c r="AM6" s="626">
        <f>IF(AVERAGE('CT (CTR)'!$M$244:'CT (CTR)'!$M$267)&lt;&gt;0,'CT (CTR)'!$M$254/AVERAGE('CT (CTR)'!$M$244:'CT (CTR)'!$M$267),0)</f>
        <v>0.47919930226847479</v>
      </c>
      <c r="AN6" s="626">
        <f>IF(AVERAGE('CT (CTR)'!$N$244:'CT (CTR)'!$N$267)&lt;&gt;0,'CT (CTR)'!$N$254/AVERAGE('CT (CTR)'!$N$244:'CT (CTR)'!$N$267),0)</f>
        <v>0.39697355395276468</v>
      </c>
      <c r="AO6" s="626">
        <f>IF(AVERAGE('CT (CTR)'!$O$244:'CT (CTR)'!$O$267)&lt;&gt;0,'CT (CTR)'!$O$254/AVERAGE('CT (CTR)'!$O$244:'CT (CTR)'!$O$267),0)</f>
        <v>0.7393920644681784</v>
      </c>
    </row>
    <row r="7" spans="1:41" x14ac:dyDescent="0.25">
      <c r="A7" s="625">
        <v>6</v>
      </c>
      <c r="B7" s="626">
        <f>IF(AVERAGE('CT (CTR)'!$G$6:'CT (CTR)'!$G$29)&lt;&gt;0,'CT (CTR)'!$G$17/AVERAGE('CT (CTR)'!$G$6:'CT (CTR)'!$G$29),0)</f>
        <v>1.8053794008309745</v>
      </c>
      <c r="C7" s="626">
        <f>IF(AVERAGE('CT (CTR)'!$G$40:'CT (CTR)'!$G$63)&lt;&gt;0,'CT (CTR)'!$G$51/AVERAGE('CT (CTR)'!$G$40:'CT (CTR)'!$G$63),0)</f>
        <v>0.33195095247667339</v>
      </c>
      <c r="D7" s="626">
        <f>IF(AVERAGE('CT (CTR)'!$H$40:'CT (CTR)'!$H$63)&lt;&gt;0,'CT (CTR)'!$H$51/AVERAGE('CT (CTR)'!$H$40:'CT (CTR)'!$H$63),0)</f>
        <v>0.66533450732072674</v>
      </c>
      <c r="E7" s="626">
        <f>IF(AVERAGE('CT (CTR)'!$I$40:'CT (CTR)'!$I$63)&lt;&gt;0,'CT (CTR)'!$I$51/AVERAGE('CT (CTR)'!$I$40:'CT (CTR)'!$I$63),0)</f>
        <v>0.16127862408929522</v>
      </c>
      <c r="F7" s="626">
        <f>IF(AVERAGE('CT (CTR)'!$J$40:'CT (CTR)'!$J$63)&lt;&gt;0,'CT (CTR)'!$J$51/AVERAGE('CT (CTR)'!$J$40:'CT (CTR)'!$J$63),0)</f>
        <v>0.81453034392908719</v>
      </c>
      <c r="G7" s="626">
        <f>IF(AVERAGE('CT (CTR)'!$K$40:'CT (CTR)'!$K$63)&lt;&gt;0,'CT (CTR)'!$K$51/AVERAGE('CT (CTR)'!$K$40:'CT (CTR)'!$K$63),0)</f>
        <v>1.0754577714691287</v>
      </c>
      <c r="H7" s="626">
        <f>IF(AVERAGE('CT (CTR)'!$L$40:'CT (CTR)'!$L$63)&lt;&gt;0,'CT (CTR)'!$L$51/AVERAGE('CT (CTR)'!$L$40:'CT (CTR)'!$L$63),0)</f>
        <v>0.41721309794372846</v>
      </c>
      <c r="I7" s="626">
        <f>IF(AVERAGE('CT (CTR)'!$M$40:'CT (CTR)'!$M$63)&lt;&gt;0,'CT (CTR)'!$M$51/AVERAGE('CT (CTR)'!$M$40:'CT (CTR)'!$M$63),0)</f>
        <v>0.86006267883907839</v>
      </c>
      <c r="J7" s="626">
        <f>IF(AVERAGE('CT (CTR)'!$N$40:'CT (CTR)'!$N$63)&lt;&gt;0,'CT (CTR)'!$N$51/AVERAGE('CT (CTR)'!$N$40:'CT (CTR)'!$N$63),0)</f>
        <v>0.49439354641472799</v>
      </c>
      <c r="K7" s="626">
        <f>IF(AVERAGE('CT (CTR)'!$O$40:'CT (CTR)'!$O$63)&lt;&gt;0,'CT (CTR)'!$O$51/AVERAGE('CT (CTR)'!$O$40:'CT (CTR)'!$O$63),0)</f>
        <v>1.3118153963400365</v>
      </c>
      <c r="L7" s="626">
        <f>IF(AVERAGE('CT (CTR)'!$P$40:'CT (CTR)'!$P$63)&lt;&gt;0,'CT (CTR)'!$P$51/AVERAGE('CT (CTR)'!$P$40:'CT (CTR)'!$P$63),0)</f>
        <v>5.8002683709275468E-4</v>
      </c>
      <c r="M7" s="626">
        <f>IF(AVERAGE('CT (CTR)'!$Q$40:'CT (CTR)'!$Q$63)&lt;&gt;0,'CT (CTR)'!$Q$51/AVERAGE('CT (CTR)'!$Q$40:'CT (CTR)'!$Q$63),0)</f>
        <v>0.43953132959755531</v>
      </c>
      <c r="N7" s="626">
        <f>IF(AVERAGE('CT (CTR)'!$R$40:'CT (CTR)'!$R$63)&lt;&gt;0,'CT (CTR)'!$R$51/AVERAGE('CT (CTR)'!$R$40:'CT (CTR)'!$R$63),0)</f>
        <v>0.63308905001652271</v>
      </c>
      <c r="O7" s="626">
        <f>IF(AVERAGE('CT (CTR)'!$S$40:'CT (CTR)'!$S$63)&lt;&gt;0,'CT (CTR)'!$S$51/AVERAGE('CT (CTR)'!$S$40:'CT (CTR)'!$S$63),0)</f>
        <v>1.7754380401173318</v>
      </c>
      <c r="P7" s="626">
        <f>IF(AVERAGE('CT (CTR)'!$T$40:'CT (CTR)'!$T$63)&lt;&gt;0,'CT (CTR)'!$T$51/AVERAGE('CT (CTR)'!$T$40:'CT (CTR)'!$T$63),0)</f>
        <v>2.5426143297756676</v>
      </c>
      <c r="Q7" s="626">
        <f>IF(AVERAGE('CT (CTR)'!$G$142:'CT (CTR)'!$G$165)&lt;&gt;0,'CT (CTR)'!$G$153/AVERAGE('CT (CTR)'!$G$142:'CT (CTR)'!$G$165),0)</f>
        <v>0.40617431647748853</v>
      </c>
      <c r="R7" s="626">
        <f>IF(AVERAGE('CT (CTR)'!$H$142:'CT (CTR)'!$H$165)&lt;&gt;0,'CT (CTR)'!$H$153/AVERAGE('CT (CTR)'!$H$142:'CT (CTR)'!$H$165),0)</f>
        <v>0.39240201895113885</v>
      </c>
      <c r="S7" s="626">
        <f>IF(AVERAGE('CT (CTR)'!$I$142:'CT (CTR)'!$I$165)&lt;&gt;0,'CT (CTR)'!$I$153/AVERAGE('CT (CTR)'!$I$142:'CT (CTR)'!$I$165),0)</f>
        <v>0.68825108204173524</v>
      </c>
      <c r="T7" s="626">
        <f>IF(AVERAGE('CT (CTR)'!$G$176:'CT (CTR)'!$G$199)&lt;&gt;0,'CT (CTR)'!$G$187/AVERAGE('CT (CTR)'!$G$176:'CT (CTR)'!$G$199),0)</f>
        <v>0.46580599825223645</v>
      </c>
      <c r="U7" s="626">
        <f>IF(AVERAGE('CT (CTR)'!$H$176:'CT (CTR)'!$H$199)&lt;&gt;0,'CT (CTR)'!$H$187/AVERAGE('CT (CTR)'!$H$176:'CT (CTR)'!$H$199),0)</f>
        <v>0.23204118565774021</v>
      </c>
      <c r="V7" s="626">
        <f>IF(AVERAGE('CT (CTR)'!$I$176:'CT (CTR)'!$I$199)&lt;&gt;0,'CT (CTR)'!$I$187/AVERAGE('CT (CTR)'!$I$176:'CT (CTR)'!$I$199),0)</f>
        <v>0.69396529124940898</v>
      </c>
      <c r="W7" s="626">
        <f>IF(AVERAGE('CT (CTR)'!$J$176:'CT (CTR)'!$J$199)&lt;&gt;0,'CT (CTR)'!$J$187/AVERAGE('CT (CTR)'!$J$176:'CT (CTR)'!$J$199),0)</f>
        <v>0.50212781304096921</v>
      </c>
      <c r="X7" s="626">
        <f>IF(AVERAGE('CT (CTR)'!$K$176:'CT (CTR)'!$K$199)&lt;&gt;0,'CT (CTR)'!$K$187/AVERAGE('CT (CTR)'!$K$176:'CT (CTR)'!$K$199),0)</f>
        <v>0.36931002030808852</v>
      </c>
      <c r="Y7" s="626">
        <f>IF(AVERAGE('CT (CTR)'!$L$176:'CT (CTR)'!$L$199)&lt;&gt;0,'CT (CTR)'!$L$187/AVERAGE('CT (CTR)'!$L$176:'CT (CTR)'!$L$199),0)</f>
        <v>0.72309552599758176</v>
      </c>
      <c r="Z7" s="626">
        <f>IF(AVERAGE('CT (CTR)'!$M$176:'CT (CTR)'!$M$199)&lt;&gt;0,'CT (CTR)'!$M$187/AVERAGE('CT (CTR)'!$M$176:'CT (CTR)'!$M$199),0)</f>
        <v>0.43863663233443012</v>
      </c>
      <c r="AA7" s="626">
        <f>IF(AVERAGE('CT (CTR)'!$N$176:'CT (CTR)'!$N$199)&lt;&gt;0,'CT (CTR)'!$N$187/AVERAGE('CT (CTR)'!$N$176:'CT (CTR)'!$N$199),0)</f>
        <v>0.72104085058757739</v>
      </c>
      <c r="AB7" s="626">
        <f>IF(AVERAGE('CT (CTR)'!$O$176:'CT (CTR)'!$O$199)&lt;&gt;0,'CT (CTR)'!$O$187/AVERAGE('CT (CTR)'!$O$176:'CT (CTR)'!$O$199),0)</f>
        <v>1.178673957621327</v>
      </c>
      <c r="AC7" s="626">
        <f>IF(AVERAGE('CT (CTR)'!$P$176:'CT (CTR)'!$P$199)&lt;&gt;0,'CT (CTR)'!$P$187/AVERAGE('CT (CTR)'!$P$176:'CT (CTR)'!$P$199),0)</f>
        <v>0.46847455337543559</v>
      </c>
      <c r="AD7" s="626">
        <f>IF(AVERAGE('CT (CTR)'!$Q$176:'CT (CTR)'!$Q$199)&lt;&gt;0,'CT (CTR)'!$Q$187/AVERAGE('CT (CTR)'!$Q$176:'CT (CTR)'!$Q$199),0)</f>
        <v>1.3699117744272935</v>
      </c>
      <c r="AE7" s="626">
        <f>IF(AVERAGE('CT (CTR)'!$R$176:'CT (CTR)'!$R$199)&lt;&gt;0,'CT (CTR)'!$R$187/AVERAGE('CT (CTR)'!$R$176:'CT (CTR)'!$R$199),0)</f>
        <v>0.63758631208230765</v>
      </c>
      <c r="AF7" s="626">
        <f>IF(AVERAGE('CT (CTR)'!$S$176:'CT (CTR)'!$S$199)&lt;&gt;0,'CT (CTR)'!$S$187/AVERAGE('CT (CTR)'!$S$176:'CT (CTR)'!$S$199),0)</f>
        <v>0.84588685726554014</v>
      </c>
      <c r="AG7" s="626">
        <f>IF(AVERAGE('CT (CTR)'!$G$244:'CT (CTR)'!$G$267)&lt;&gt;0,'CT (CTR)'!$G$255/AVERAGE('CT (CTR)'!$G$244:'CT (CTR)'!$G$267),0)</f>
        <v>1.0040052038181144</v>
      </c>
      <c r="AH7" s="626">
        <f>IF(AVERAGE('CT (CTR)'!$H$244:'CT (CTR)'!$H$267)&lt;&gt;0,'CT (CTR)'!$H$255/AVERAGE('CT (CTR)'!$H$244:'CT (CTR)'!$H$267),0)</f>
        <v>0.53853452106339728</v>
      </c>
      <c r="AI7" s="626">
        <f>IF(AVERAGE('CT (CTR)'!$I$244:'CT (CTR)'!$I$267)&lt;&gt;0,'CT (CTR)'!$I$255/AVERAGE('CT (CTR)'!$I$244:'CT (CTR)'!$I$267),0)</f>
        <v>0.36872401542141781</v>
      </c>
      <c r="AJ7" s="626">
        <f>IF(AVERAGE('CT (CTR)'!$J$244:'CT (CTR)'!$J$267)&lt;&gt;0,'CT (CTR)'!$J$255/AVERAGE('CT (CTR)'!$J$244:'CT (CTR)'!$J$267),0)</f>
        <v>0.37749607470925994</v>
      </c>
      <c r="AK7" s="626">
        <f>IF(AVERAGE('CT (CTR)'!$K$244:'CT (CTR)'!$K$267)&lt;&gt;0,'CT (CTR)'!$K$255/AVERAGE('CT (CTR)'!$K$244:'CT (CTR)'!$K$267),0)</f>
        <v>0.73350850504770815</v>
      </c>
      <c r="AL7" s="626">
        <f>IF(AVERAGE('CT (CTR)'!$L$244:'CT (CTR)'!$L$267)&lt;&gt;0,'CT (CTR)'!$L$255/AVERAGE('CT (CTR)'!$L$244:'CT (CTR)'!$L$267),0)</f>
        <v>0.92321716178709978</v>
      </c>
      <c r="AM7" s="626">
        <f>IF(AVERAGE('CT (CTR)'!$M$244:'CT (CTR)'!$M$267)&lt;&gt;0,'CT (CTR)'!$M$255/AVERAGE('CT (CTR)'!$M$244:'CT (CTR)'!$M$267),0)</f>
        <v>0.55952310388917537</v>
      </c>
      <c r="AN7" s="626">
        <f>IF(AVERAGE('CT (CTR)'!$N$244:'CT (CTR)'!$N$267)&lt;&gt;0,'CT (CTR)'!$N$255/AVERAGE('CT (CTR)'!$N$244:'CT (CTR)'!$N$267),0)</f>
        <v>0.36168521997966147</v>
      </c>
      <c r="AO7" s="626">
        <f>IF(AVERAGE('CT (CTR)'!$O$244:'CT (CTR)'!$O$267)&lt;&gt;0,'CT (CTR)'!$O$255/AVERAGE('CT (CTR)'!$O$244:'CT (CTR)'!$O$267),0)</f>
        <v>0.7327822652144218</v>
      </c>
    </row>
    <row r="8" spans="1:41" x14ac:dyDescent="0.25">
      <c r="A8" s="625">
        <v>7</v>
      </c>
      <c r="B8" s="626">
        <f>IF(AVERAGE('CT (CTR)'!$G$6:'CT (CTR)'!$G$29)&lt;&gt;0,'CT (CTR)'!$G$18/AVERAGE('CT (CTR)'!$G$6:'CT (CTR)'!$G$29),0)</f>
        <v>0.14170129018150104</v>
      </c>
      <c r="C8" s="626">
        <f>IF(AVERAGE('CT (CTR)'!$G$40:'CT (CTR)'!$G$63)&lt;&gt;0,'CT (CTR)'!$G$52/AVERAGE('CT (CTR)'!$G$40:'CT (CTR)'!$G$63),0)</f>
        <v>0.45120911161375593</v>
      </c>
      <c r="D8" s="626">
        <f>IF(AVERAGE('CT (CTR)'!$H$40:'CT (CTR)'!$H$63)&lt;&gt;0,'CT (CTR)'!$H$52/AVERAGE('CT (CTR)'!$H$40:'CT (CTR)'!$H$63),0)</f>
        <v>0.71152071788977511</v>
      </c>
      <c r="E8" s="626">
        <f>IF(AVERAGE('CT (CTR)'!$I$40:'CT (CTR)'!$I$63)&lt;&gt;0,'CT (CTR)'!$I$52/AVERAGE('CT (CTR)'!$I$40:'CT (CTR)'!$I$63),0)</f>
        <v>0.16933082878207123</v>
      </c>
      <c r="F8" s="626">
        <f>IF(AVERAGE('CT (CTR)'!$J$40:'CT (CTR)'!$J$63)&lt;&gt;0,'CT (CTR)'!$J$52/AVERAGE('CT (CTR)'!$J$40:'CT (CTR)'!$J$63),0)</f>
        <v>1.0951233427284417</v>
      </c>
      <c r="G8" s="626">
        <f>IF(AVERAGE('CT (CTR)'!$K$40:'CT (CTR)'!$K$63)&lt;&gt;0,'CT (CTR)'!$K$52/AVERAGE('CT (CTR)'!$K$40:'CT (CTR)'!$K$63),0)</f>
        <v>1.0751738821859484</v>
      </c>
      <c r="H8" s="626">
        <f>IF(AVERAGE('CT (CTR)'!$L$40:'CT (CTR)'!$L$63)&lt;&gt;0,'CT (CTR)'!$L$52/AVERAGE('CT (CTR)'!$L$40:'CT (CTR)'!$L$63),0)</f>
        <v>0.57561446717590203</v>
      </c>
      <c r="I8" s="626">
        <f>IF(AVERAGE('CT (CTR)'!$M$40:'CT (CTR)'!$M$63)&lt;&gt;0,'CT (CTR)'!$M$52/AVERAGE('CT (CTR)'!$M$40:'CT (CTR)'!$M$63),0)</f>
        <v>0.8287282141485689</v>
      </c>
      <c r="J8" s="626">
        <f>IF(AVERAGE('CT (CTR)'!$N$40:'CT (CTR)'!$N$63)&lt;&gt;0,'CT (CTR)'!$N$52/AVERAGE('CT (CTR)'!$N$40:'CT (CTR)'!$N$63),0)</f>
        <v>0.45380223074723075</v>
      </c>
      <c r="K8" s="626">
        <f>IF(AVERAGE('CT (CTR)'!$O$40:'CT (CTR)'!$O$63)&lt;&gt;0,'CT (CTR)'!$O$52/AVERAGE('CT (CTR)'!$O$40:'CT (CTR)'!$O$63),0)</f>
        <v>0.86609800510358703</v>
      </c>
      <c r="L8" s="626">
        <f>IF(AVERAGE('CT (CTR)'!$P$40:'CT (CTR)'!$P$63)&lt;&gt;0,'CT (CTR)'!$P$52/AVERAGE('CT (CTR)'!$P$40:'CT (CTR)'!$P$63),0)</f>
        <v>5.8002683709275468E-4</v>
      </c>
      <c r="M8" s="626">
        <f>IF(AVERAGE('CT (CTR)'!$Q$40:'CT (CTR)'!$Q$63)&lt;&gt;0,'CT (CTR)'!$Q$52/AVERAGE('CT (CTR)'!$Q$40:'CT (CTR)'!$Q$63),0)</f>
        <v>0.3490575649516045</v>
      </c>
      <c r="N8" s="626">
        <f>IF(AVERAGE('CT (CTR)'!$R$40:'CT (CTR)'!$R$63)&lt;&gt;0,'CT (CTR)'!$R$52/AVERAGE('CT (CTR)'!$R$40:'CT (CTR)'!$R$63),0)</f>
        <v>0.4574383298019174</v>
      </c>
      <c r="O8" s="626">
        <f>IF(AVERAGE('CT (CTR)'!$S$40:'CT (CTR)'!$S$63)&lt;&gt;0,'CT (CTR)'!$S$52/AVERAGE('CT (CTR)'!$S$40:'CT (CTR)'!$S$63),0)</f>
        <v>1.2037104574645232</v>
      </c>
      <c r="P8" s="626">
        <f>IF(AVERAGE('CT (CTR)'!$T$40:'CT (CTR)'!$T$63)&lt;&gt;0,'CT (CTR)'!$T$52/AVERAGE('CT (CTR)'!$T$40:'CT (CTR)'!$T$63),0)</f>
        <v>1.1859675594115444</v>
      </c>
      <c r="Q8" s="626">
        <f>IF(AVERAGE('CT (CTR)'!$G$142:'CT (CTR)'!$G$165)&lt;&gt;0,'CT (CTR)'!$G$154/AVERAGE('CT (CTR)'!$G$142:'CT (CTR)'!$G$165),0)</f>
        <v>0.58685185725540667</v>
      </c>
      <c r="R8" s="626">
        <f>IF(AVERAGE('CT (CTR)'!$H$142:'CT (CTR)'!$H$165)&lt;&gt;0,'CT (CTR)'!$H$154/AVERAGE('CT (CTR)'!$H$142:'CT (CTR)'!$H$165),0)</f>
        <v>0.33758114865649497</v>
      </c>
      <c r="S8" s="626">
        <f>IF(AVERAGE('CT (CTR)'!$I$142:'CT (CTR)'!$I$165)&lt;&gt;0,'CT (CTR)'!$I$154/AVERAGE('CT (CTR)'!$I$142:'CT (CTR)'!$I$165),0)</f>
        <v>1.0729985250380814</v>
      </c>
      <c r="T8" s="626">
        <f>IF(AVERAGE('CT (CTR)'!$G$176:'CT (CTR)'!$G$199)&lt;&gt;0,'CT (CTR)'!$G$188/AVERAGE('CT (CTR)'!$G$176:'CT (CTR)'!$G$199),0)</f>
        <v>0.55604104541482402</v>
      </c>
      <c r="U8" s="626">
        <f>IF(AVERAGE('CT (CTR)'!$H$176:'CT (CTR)'!$H$199)&lt;&gt;0,'CT (CTR)'!$H$188/AVERAGE('CT (CTR)'!$H$176:'CT (CTR)'!$H$199),0)</f>
        <v>0.24215580144281965</v>
      </c>
      <c r="V8" s="626">
        <f>IF(AVERAGE('CT (CTR)'!$I$176:'CT (CTR)'!$I$199)&lt;&gt;0,'CT (CTR)'!$I$188/AVERAGE('CT (CTR)'!$I$176:'CT (CTR)'!$I$199),0)</f>
        <v>1.8522518743773959</v>
      </c>
      <c r="W8" s="626">
        <f>IF(AVERAGE('CT (CTR)'!$J$176:'CT (CTR)'!$J$199)&lt;&gt;0,'CT (CTR)'!$J$188/AVERAGE('CT (CTR)'!$J$176:'CT (CTR)'!$J$199),0)</f>
        <v>1.6621826312752412</v>
      </c>
      <c r="X8" s="626">
        <f>IF(AVERAGE('CT (CTR)'!$K$176:'CT (CTR)'!$K$199)&lt;&gt;0,'CT (CTR)'!$K$188/AVERAGE('CT (CTR)'!$K$176:'CT (CTR)'!$K$199),0)</f>
        <v>0.42209123780276431</v>
      </c>
      <c r="Y8" s="626">
        <f>IF(AVERAGE('CT (CTR)'!$L$176:'CT (CTR)'!$L$199)&lt;&gt;0,'CT (CTR)'!$L$188/AVERAGE('CT (CTR)'!$L$176:'CT (CTR)'!$L$199),0)</f>
        <v>0.51476939022283619</v>
      </c>
      <c r="Z8" s="626">
        <f>IF(AVERAGE('CT (CTR)'!$M$176:'CT (CTR)'!$M$199)&lt;&gt;0,'CT (CTR)'!$M$188/AVERAGE('CT (CTR)'!$M$176:'CT (CTR)'!$M$199),0)</f>
        <v>0.51508091605177009</v>
      </c>
      <c r="AA8" s="626">
        <f>IF(AVERAGE('CT (CTR)'!$N$176:'CT (CTR)'!$N$199)&lt;&gt;0,'CT (CTR)'!$N$188/AVERAGE('CT (CTR)'!$N$176:'CT (CTR)'!$N$199),0)</f>
        <v>1.5486849468382746</v>
      </c>
      <c r="AB8" s="626">
        <f>IF(AVERAGE('CT (CTR)'!$O$176:'CT (CTR)'!$O$199)&lt;&gt;0,'CT (CTR)'!$O$188/AVERAGE('CT (CTR)'!$O$176:'CT (CTR)'!$O$199),0)</f>
        <v>1.7897470950102534</v>
      </c>
      <c r="AC8" s="626">
        <f>IF(AVERAGE('CT (CTR)'!$P$176:'CT (CTR)'!$P$199)&lt;&gt;0,'CT (CTR)'!$P$188/AVERAGE('CT (CTR)'!$P$176:'CT (CTR)'!$P$199),0)</f>
        <v>0.63868157103778977</v>
      </c>
      <c r="AD8" s="626">
        <f>IF(AVERAGE('CT (CTR)'!$Q$176:'CT (CTR)'!$Q$199)&lt;&gt;0,'CT (CTR)'!$Q$188/AVERAGE('CT (CTR)'!$Q$176:'CT (CTR)'!$Q$199),0)</f>
        <v>1.2484808420838513</v>
      </c>
      <c r="AE8" s="626">
        <f>IF(AVERAGE('CT (CTR)'!$R$176:'CT (CTR)'!$R$199)&lt;&gt;0,'CT (CTR)'!$R$188/AVERAGE('CT (CTR)'!$R$176:'CT (CTR)'!$R$199),0)</f>
        <v>0.64623831840492496</v>
      </c>
      <c r="AF8" s="626">
        <f>IF(AVERAGE('CT (CTR)'!$S$176:'CT (CTR)'!$S$199)&lt;&gt;0,'CT (CTR)'!$S$188/AVERAGE('CT (CTR)'!$S$176:'CT (CTR)'!$S$199),0)</f>
        <v>0.95237413675886307</v>
      </c>
      <c r="AG8" s="626">
        <f>IF(AVERAGE('CT (CTR)'!$G$244:'CT (CTR)'!$G$267)&lt;&gt;0,'CT (CTR)'!$G$256/AVERAGE('CT (CTR)'!$G$244:'CT (CTR)'!$G$267),0)</f>
        <v>1.1180802982486806</v>
      </c>
      <c r="AH8" s="626">
        <f>IF(AVERAGE('CT (CTR)'!$H$244:'CT (CTR)'!$H$267)&lt;&gt;0,'CT (CTR)'!$H$256/AVERAGE('CT (CTR)'!$H$244:'CT (CTR)'!$H$267),0)</f>
        <v>0.70858233104176149</v>
      </c>
      <c r="AI8" s="626">
        <f>IF(AVERAGE('CT (CTR)'!$I$244:'CT (CTR)'!$I$267)&lt;&gt;0,'CT (CTR)'!$I$256/AVERAGE('CT (CTR)'!$I$244:'CT (CTR)'!$I$267),0)</f>
        <v>0.45659898209734162</v>
      </c>
      <c r="AJ8" s="626">
        <f>IF(AVERAGE('CT (CTR)'!$J$244:'CT (CTR)'!$J$267)&lt;&gt;0,'CT (CTR)'!$J$256/AVERAGE('CT (CTR)'!$J$244:'CT (CTR)'!$J$267),0)</f>
        <v>0.48377303491081763</v>
      </c>
      <c r="AK8" s="626">
        <f>IF(AVERAGE('CT (CTR)'!$K$244:'CT (CTR)'!$K$267)&lt;&gt;0,'CT (CTR)'!$K$256/AVERAGE('CT (CTR)'!$K$244:'CT (CTR)'!$K$267),0)</f>
        <v>0.93265108560365106</v>
      </c>
      <c r="AL8" s="626">
        <f>IF(AVERAGE('CT (CTR)'!$L$244:'CT (CTR)'!$L$267)&lt;&gt;0,'CT (CTR)'!$L$256/AVERAGE('CT (CTR)'!$L$244:'CT (CTR)'!$L$267),0)</f>
        <v>0.93034057594049646</v>
      </c>
      <c r="AM8" s="626">
        <f>IF(AVERAGE('CT (CTR)'!$M$244:'CT (CTR)'!$M$267)&lt;&gt;0,'CT (CTR)'!$M$256/AVERAGE('CT (CTR)'!$M$244:'CT (CTR)'!$M$267),0)</f>
        <v>0.54163949973327064</v>
      </c>
      <c r="AN8" s="626">
        <f>IF(AVERAGE('CT (CTR)'!$N$244:'CT (CTR)'!$N$267)&lt;&gt;0,'CT (CTR)'!$N$256/AVERAGE('CT (CTR)'!$N$244:'CT (CTR)'!$N$267),0)</f>
        <v>0.38547117333710529</v>
      </c>
      <c r="AO8" s="626">
        <f>IF(AVERAGE('CT (CTR)'!$O$244:'CT (CTR)'!$O$267)&lt;&gt;0,'CT (CTR)'!$O$256/AVERAGE('CT (CTR)'!$O$244:'CT (CTR)'!$O$267),0)</f>
        <v>0.7450058665741095</v>
      </c>
    </row>
    <row r="9" spans="1:41" x14ac:dyDescent="0.25">
      <c r="A9" s="625">
        <v>8</v>
      </c>
      <c r="B9" s="626">
        <f>IF(AVERAGE('CT (CTR)'!$G$6:'CT (CTR)'!$G$29)&lt;&gt;0,'CT (CTR)'!$G$19/AVERAGE('CT (CTR)'!$G$6:'CT (CTR)'!$G$29),0)</f>
        <v>0</v>
      </c>
      <c r="C9" s="626">
        <f>IF(AVERAGE('CT (CTR)'!$G$40:'CT (CTR)'!$G$63)&lt;&gt;0,'CT (CTR)'!$G$53/AVERAGE('CT (CTR)'!$G$40:'CT (CTR)'!$G$63),0)</f>
        <v>1.0212704502918588</v>
      </c>
      <c r="D9" s="626">
        <f>IF(AVERAGE('CT (CTR)'!$H$40:'CT (CTR)'!$H$63)&lt;&gt;0,'CT (CTR)'!$H$53/AVERAGE('CT (CTR)'!$H$40:'CT (CTR)'!$H$63),0)</f>
        <v>0.8379570510420894</v>
      </c>
      <c r="E9" s="626">
        <f>IF(AVERAGE('CT (CTR)'!$I$40:'CT (CTR)'!$I$63)&lt;&gt;0,'CT (CTR)'!$I$53/AVERAGE('CT (CTR)'!$I$40:'CT (CTR)'!$I$63),0)</f>
        <v>0.4220762440417371</v>
      </c>
      <c r="F9" s="626">
        <f>IF(AVERAGE('CT (CTR)'!$J$40:'CT (CTR)'!$J$63)&lt;&gt;0,'CT (CTR)'!$J$53/AVERAGE('CT (CTR)'!$J$40:'CT (CTR)'!$J$63),0)</f>
        <v>1.0240724814155695</v>
      </c>
      <c r="G9" s="626">
        <f>IF(AVERAGE('CT (CTR)'!$K$40:'CT (CTR)'!$K$63)&lt;&gt;0,'CT (CTR)'!$K$53/AVERAGE('CT (CTR)'!$K$40:'CT (CTR)'!$K$63),0)</f>
        <v>1.28303761533002</v>
      </c>
      <c r="H9" s="626">
        <f>IF(AVERAGE('CT (CTR)'!$L$40:'CT (CTR)'!$L$63)&lt;&gt;0,'CT (CTR)'!$L$53/AVERAGE('CT (CTR)'!$L$40:'CT (CTR)'!$L$63),0)</f>
        <v>0.91751979551009777</v>
      </c>
      <c r="I9" s="626">
        <f>IF(AVERAGE('CT (CTR)'!$M$40:'CT (CTR)'!$M$63)&lt;&gt;0,'CT (CTR)'!$M$53/AVERAGE('CT (CTR)'!$M$40:'CT (CTR)'!$M$63),0)</f>
        <v>1.0237510683893019</v>
      </c>
      <c r="J9" s="626">
        <f>IF(AVERAGE('CT (CTR)'!$N$40:'CT (CTR)'!$N$63)&lt;&gt;0,'CT (CTR)'!$N$53/AVERAGE('CT (CTR)'!$N$40:'CT (CTR)'!$N$63),0)</f>
        <v>0.43735268882949818</v>
      </c>
      <c r="K9" s="626">
        <f>IF(AVERAGE('CT (CTR)'!$O$40:'CT (CTR)'!$O$63)&lt;&gt;0,'CT (CTR)'!$O$53/AVERAGE('CT (CTR)'!$O$40:'CT (CTR)'!$O$63),0)</f>
        <v>0.55231176229905032</v>
      </c>
      <c r="L9" s="626">
        <f>IF(AVERAGE('CT (CTR)'!$P$40:'CT (CTR)'!$P$63)&lt;&gt;0,'CT (CTR)'!$P$53/AVERAGE('CT (CTR)'!$P$40:'CT (CTR)'!$P$63),0)</f>
        <v>5.8002683709275468E-4</v>
      </c>
      <c r="M9" s="626">
        <f>IF(AVERAGE('CT (CTR)'!$Q$40:'CT (CTR)'!$Q$63)&lt;&gt;0,'CT (CTR)'!$Q$53/AVERAGE('CT (CTR)'!$Q$40:'CT (CTR)'!$Q$63),0)</f>
        <v>0.56444218033621996</v>
      </c>
      <c r="N9" s="626">
        <f>IF(AVERAGE('CT (CTR)'!$R$40:'CT (CTR)'!$R$63)&lt;&gt;0,'CT (CTR)'!$R$53/AVERAGE('CT (CTR)'!$R$40:'CT (CTR)'!$R$63),0)</f>
        <v>0.89504888906168045</v>
      </c>
      <c r="O9" s="626">
        <f>IF(AVERAGE('CT (CTR)'!$S$40:'CT (CTR)'!$S$63)&lt;&gt;0,'CT (CTR)'!$S$53/AVERAGE('CT (CTR)'!$S$40:'CT (CTR)'!$S$63),0)</f>
        <v>0.1962419725679847</v>
      </c>
      <c r="P9" s="626">
        <f>IF(AVERAGE('CT (CTR)'!$T$40:'CT (CTR)'!$T$63)&lt;&gt;0,'CT (CTR)'!$T$53/AVERAGE('CT (CTR)'!$T$40:'CT (CTR)'!$T$63),0)</f>
        <v>1.3750194155368654</v>
      </c>
      <c r="Q9" s="626">
        <f>IF(AVERAGE('CT (CTR)'!$G$142:'CT (CTR)'!$G$165)&lt;&gt;0,'CT (CTR)'!$G$155/AVERAGE('CT (CTR)'!$G$142:'CT (CTR)'!$G$165),0)</f>
        <v>0.57074494470543613</v>
      </c>
      <c r="R9" s="626">
        <f>IF(AVERAGE('CT (CTR)'!$H$142:'CT (CTR)'!$H$165)&lt;&gt;0,'CT (CTR)'!$H$155/AVERAGE('CT (CTR)'!$H$142:'CT (CTR)'!$H$165),0)</f>
        <v>0.93484010397183059</v>
      </c>
      <c r="S9" s="626">
        <f>IF(AVERAGE('CT (CTR)'!$I$142:'CT (CTR)'!$I$165)&lt;&gt;0,'CT (CTR)'!$I$155/AVERAGE('CT (CTR)'!$I$142:'CT (CTR)'!$I$165),0)</f>
        <v>0.98943346954566447</v>
      </c>
      <c r="T9" s="626">
        <f>IF(AVERAGE('CT (CTR)'!$G$176:'CT (CTR)'!$G$199)&lt;&gt;0,'CT (CTR)'!$G$189/AVERAGE('CT (CTR)'!$G$176:'CT (CTR)'!$G$199),0)</f>
        <v>0.60476220506491296</v>
      </c>
      <c r="U9" s="626">
        <f>IF(AVERAGE('CT (CTR)'!$H$176:'CT (CTR)'!$H$199)&lt;&gt;0,'CT (CTR)'!$H$189/AVERAGE('CT (CTR)'!$H$176:'CT (CTR)'!$H$199),0)</f>
        <v>0.4664622809119679</v>
      </c>
      <c r="V9" s="626">
        <f>IF(AVERAGE('CT (CTR)'!$I$176:'CT (CTR)'!$I$199)&lt;&gt;0,'CT (CTR)'!$I$189/AVERAGE('CT (CTR)'!$I$176:'CT (CTR)'!$I$199),0)</f>
        <v>1.1191737010433567</v>
      </c>
      <c r="W9" s="626">
        <f>IF(AVERAGE('CT (CTR)'!$J$176:'CT (CTR)'!$J$199)&lt;&gt;0,'CT (CTR)'!$J$189/AVERAGE('CT (CTR)'!$J$176:'CT (CTR)'!$J$199),0)</f>
        <v>1.5227207155222129</v>
      </c>
      <c r="X9" s="626">
        <f>IF(AVERAGE('CT (CTR)'!$K$176:'CT (CTR)'!$K$199)&lt;&gt;0,'CT (CTR)'!$K$189/AVERAGE('CT (CTR)'!$K$176:'CT (CTR)'!$K$199),0)</f>
        <v>0.5048293625241469</v>
      </c>
      <c r="Y9" s="626">
        <f>IF(AVERAGE('CT (CTR)'!$L$176:'CT (CTR)'!$L$199)&lt;&gt;0,'CT (CTR)'!$L$189/AVERAGE('CT (CTR)'!$L$176:'CT (CTR)'!$L$199),0)</f>
        <v>0.28433235446536614</v>
      </c>
      <c r="Z9" s="626">
        <f>IF(AVERAGE('CT (CTR)'!$M$176:'CT (CTR)'!$M$199)&lt;&gt;0,'CT (CTR)'!$M$189/AVERAGE('CT (CTR)'!$M$176:'CT (CTR)'!$M$199),0)</f>
        <v>0.66379676057611359</v>
      </c>
      <c r="AA9" s="626">
        <f>IF(AVERAGE('CT (CTR)'!$N$176:'CT (CTR)'!$N$199)&lt;&gt;0,'CT (CTR)'!$N$189/AVERAGE('CT (CTR)'!$N$176:'CT (CTR)'!$N$199),0)</f>
        <v>0.95019585898153336</v>
      </c>
      <c r="AB9" s="626">
        <f>IF(AVERAGE('CT (CTR)'!$O$176:'CT (CTR)'!$O$199)&lt;&gt;0,'CT (CTR)'!$O$189/AVERAGE('CT (CTR)'!$O$176:'CT (CTR)'!$O$199),0)</f>
        <v>1.5272727272727253</v>
      </c>
      <c r="AC9" s="626">
        <f>IF(AVERAGE('CT (CTR)'!$P$176:'CT (CTR)'!$P$199)&lt;&gt;0,'CT (CTR)'!$P$189/AVERAGE('CT (CTR)'!$P$176:'CT (CTR)'!$P$199),0)</f>
        <v>0.80686231468035596</v>
      </c>
      <c r="AD9" s="626">
        <f>IF(AVERAGE('CT (CTR)'!$Q$176:'CT (CTR)'!$Q$199)&lt;&gt;0,'CT (CTR)'!$Q$189/AVERAGE('CT (CTR)'!$Q$176:'CT (CTR)'!$Q$199),0)</f>
        <v>0.96534540184587325</v>
      </c>
      <c r="AE9" s="626">
        <f>IF(AVERAGE('CT (CTR)'!$R$176:'CT (CTR)'!$R$199)&lt;&gt;0,'CT (CTR)'!$R$189/AVERAGE('CT (CTR)'!$R$176:'CT (CTR)'!$R$199),0)</f>
        <v>0.8971465017609036</v>
      </c>
      <c r="AF9" s="626">
        <f>IF(AVERAGE('CT (CTR)'!$S$176:'CT (CTR)'!$S$199)&lt;&gt;0,'CT (CTR)'!$S$189/AVERAGE('CT (CTR)'!$S$176:'CT (CTR)'!$S$199),0)</f>
        <v>0.89226034994811565</v>
      </c>
      <c r="AG9" s="626">
        <f>IF(AVERAGE('CT (CTR)'!$G$244:'CT (CTR)'!$G$267)&lt;&gt;0,'CT (CTR)'!$G$257/AVERAGE('CT (CTR)'!$G$244:'CT (CTR)'!$G$267),0)</f>
        <v>1.2608225367813783</v>
      </c>
      <c r="AH9" s="626">
        <f>IF(AVERAGE('CT (CTR)'!$H$244:'CT (CTR)'!$H$267)&lt;&gt;0,'CT (CTR)'!$H$257/AVERAGE('CT (CTR)'!$H$244:'CT (CTR)'!$H$267),0)</f>
        <v>1.0563802390164641</v>
      </c>
      <c r="AI9" s="626">
        <f>IF(AVERAGE('CT (CTR)'!$I$244:'CT (CTR)'!$I$267)&lt;&gt;0,'CT (CTR)'!$I$257/AVERAGE('CT (CTR)'!$I$244:'CT (CTR)'!$I$267),0)</f>
        <v>1.0511963169267227</v>
      </c>
      <c r="AJ9" s="626">
        <f>IF(AVERAGE('CT (CTR)'!$J$244:'CT (CTR)'!$J$267)&lt;&gt;0,'CT (CTR)'!$J$257/AVERAGE('CT (CTR)'!$J$244:'CT (CTR)'!$J$267),0)</f>
        <v>0.66131059037439965</v>
      </c>
      <c r="AK9" s="626">
        <f>IF(AVERAGE('CT (CTR)'!$K$244:'CT (CTR)'!$K$267)&lt;&gt;0,'CT (CTR)'!$K$257/AVERAGE('CT (CTR)'!$K$244:'CT (CTR)'!$K$267),0)</f>
        <v>1.0123081178260267</v>
      </c>
      <c r="AL9" s="626">
        <f>IF(AVERAGE('CT (CTR)'!$L$244:'CT (CTR)'!$L$267)&lt;&gt;0,'CT (CTR)'!$L$257/AVERAGE('CT (CTR)'!$L$244:'CT (CTR)'!$L$267),0)</f>
        <v>0.96059598691571346</v>
      </c>
      <c r="AM9" s="626">
        <f>IF(AVERAGE('CT (CTR)'!$M$244:'CT (CTR)'!$M$267)&lt;&gt;0,'CT (CTR)'!$M$257/AVERAGE('CT (CTR)'!$M$244:'CT (CTR)'!$M$267),0)</f>
        <v>0.81639669085582323</v>
      </c>
      <c r="AN9" s="626">
        <f>IF(AVERAGE('CT (CTR)'!$N$244:'CT (CTR)'!$N$267)&lt;&gt;0,'CT (CTR)'!$N$257/AVERAGE('CT (CTR)'!$N$244:'CT (CTR)'!$N$267),0)</f>
        <v>0.84959694526941032</v>
      </c>
      <c r="AO9" s="626">
        <f>IF(AVERAGE('CT (CTR)'!$O$244:'CT (CTR)'!$O$267)&lt;&gt;0,'CT (CTR)'!$O$257/AVERAGE('CT (CTR)'!$O$244:'CT (CTR)'!$O$267),0)</f>
        <v>0.99092661689195682</v>
      </c>
    </row>
    <row r="10" spans="1:41" x14ac:dyDescent="0.25">
      <c r="A10" s="625">
        <v>9</v>
      </c>
      <c r="B10" s="626">
        <f>IF(AVERAGE('CT (CTR)'!$G$6:'CT (CTR)'!$G$29)&lt;&gt;0,'CT (CTR)'!$G$20/AVERAGE('CT (CTR)'!$G$6:'CT (CTR)'!$G$29),0)</f>
        <v>0</v>
      </c>
      <c r="C10" s="626">
        <f>IF(AVERAGE('CT (CTR)'!$G$40:'CT (CTR)'!$G$63)&lt;&gt;0,'CT (CTR)'!$G$54/AVERAGE('CT (CTR)'!$G$40:'CT (CTR)'!$G$63),0)</f>
        <v>1.8026038200549968</v>
      </c>
      <c r="D10" s="626">
        <f>IF(AVERAGE('CT (CTR)'!$H$40:'CT (CTR)'!$H$63)&lt;&gt;0,'CT (CTR)'!$H$54/AVERAGE('CT (CTR)'!$H$40:'CT (CTR)'!$H$63),0)</f>
        <v>1.2966051026272358</v>
      </c>
      <c r="E10" s="626">
        <f>IF(AVERAGE('CT (CTR)'!$I$40:'CT (CTR)'!$I$63)&lt;&gt;0,'CT (CTR)'!$I$54/AVERAGE('CT (CTR)'!$I$40:'CT (CTR)'!$I$63),0)</f>
        <v>0.94158677075755437</v>
      </c>
      <c r="F10" s="626">
        <f>IF(AVERAGE('CT (CTR)'!$J$40:'CT (CTR)'!$J$63)&lt;&gt;0,'CT (CTR)'!$J$54/AVERAGE('CT (CTR)'!$J$40:'CT (CTR)'!$J$63),0)</f>
        <v>1.1627000008515205</v>
      </c>
      <c r="G10" s="626">
        <f>IF(AVERAGE('CT (CTR)'!$K$40:'CT (CTR)'!$K$63)&lt;&gt;0,'CT (CTR)'!$K$54/AVERAGE('CT (CTR)'!$K$40:'CT (CTR)'!$K$63),0)</f>
        <v>1.2441731724627405</v>
      </c>
      <c r="H10" s="626">
        <f>IF(AVERAGE('CT (CTR)'!$L$40:'CT (CTR)'!$L$63)&lt;&gt;0,'CT (CTR)'!$L$54/AVERAGE('CT (CTR)'!$L$40:'CT (CTR)'!$L$63),0)</f>
        <v>1.1777186548561689</v>
      </c>
      <c r="I10" s="626">
        <f>IF(AVERAGE('CT (CTR)'!$M$40:'CT (CTR)'!$M$63)&lt;&gt;0,'CT (CTR)'!$M$54/AVERAGE('CT (CTR)'!$M$40:'CT (CTR)'!$M$63),0)</f>
        <v>1.0637069702337407</v>
      </c>
      <c r="J10" s="626">
        <f>IF(AVERAGE('CT (CTR)'!$N$40:'CT (CTR)'!$N$63)&lt;&gt;0,'CT (CTR)'!$N$54/AVERAGE('CT (CTR)'!$N$40:'CT (CTR)'!$N$63),0)</f>
        <v>0.56961962899774365</v>
      </c>
      <c r="K10" s="626">
        <f>IF(AVERAGE('CT (CTR)'!$O$40:'CT (CTR)'!$O$63)&lt;&gt;0,'CT (CTR)'!$O$54/AVERAGE('CT (CTR)'!$O$40:'CT (CTR)'!$O$63),0)</f>
        <v>0.29167278326623325</v>
      </c>
      <c r="L10" s="626">
        <f>IF(AVERAGE('CT (CTR)'!$P$40:'CT (CTR)'!$P$63)&lt;&gt;0,'CT (CTR)'!$P$54/AVERAGE('CT (CTR)'!$P$40:'CT (CTR)'!$P$63),0)</f>
        <v>1.1102858910976139</v>
      </c>
      <c r="M10" s="626">
        <f>IF(AVERAGE('CT (CTR)'!$Q$40:'CT (CTR)'!$Q$63)&lt;&gt;0,'CT (CTR)'!$Q$54/AVERAGE('CT (CTR)'!$Q$40:'CT (CTR)'!$Q$63),0)</f>
        <v>1.1089149261334681</v>
      </c>
      <c r="N10" s="626">
        <f>IF(AVERAGE('CT (CTR)'!$R$40:'CT (CTR)'!$R$63)&lt;&gt;0,'CT (CTR)'!$R$54/AVERAGE('CT (CTR)'!$R$40:'CT (CTR)'!$R$63),0)</f>
        <v>1.2017961627432305</v>
      </c>
      <c r="O10" s="626">
        <f>IF(AVERAGE('CT (CTR)'!$S$40:'CT (CTR)'!$S$63)&lt;&gt;0,'CT (CTR)'!$S$54/AVERAGE('CT (CTR)'!$S$40:'CT (CTR)'!$S$63),0)</f>
        <v>0.2122254816459212</v>
      </c>
      <c r="P10" s="626">
        <f>IF(AVERAGE('CT (CTR)'!$T$40:'CT (CTR)'!$T$63)&lt;&gt;0,'CT (CTR)'!$T$54/AVERAGE('CT (CTR)'!$T$40:'CT (CTR)'!$T$63),0)</f>
        <v>0.85126589300374744</v>
      </c>
      <c r="Q10" s="626">
        <f>IF(AVERAGE('CT (CTR)'!$G$142:'CT (CTR)'!$G$165)&lt;&gt;0,'CT (CTR)'!$G$156/AVERAGE('CT (CTR)'!$G$142:'CT (CTR)'!$G$165),0)</f>
        <v>0.56934434361413577</v>
      </c>
      <c r="R10" s="626">
        <f>IF(AVERAGE('CT (CTR)'!$H$142:'CT (CTR)'!$H$165)&lt;&gt;0,'CT (CTR)'!$H$156/AVERAGE('CT (CTR)'!$H$142:'CT (CTR)'!$H$165),0)</f>
        <v>0.3866314478226715</v>
      </c>
      <c r="S10" s="626">
        <f>IF(AVERAGE('CT (CTR)'!$I$142:'CT (CTR)'!$I$165)&lt;&gt;0,'CT (CTR)'!$I$156/AVERAGE('CT (CTR)'!$I$142:'CT (CTR)'!$I$165),0)</f>
        <v>1.126387310491574</v>
      </c>
      <c r="T10" s="626">
        <f>IF(AVERAGE('CT (CTR)'!$G$176:'CT (CTR)'!$G$199)&lt;&gt;0,'CT (CTR)'!$G$190/AVERAGE('CT (CTR)'!$G$176:'CT (CTR)'!$G$199),0)</f>
        <v>0.69290714330759784</v>
      </c>
      <c r="U10" s="626">
        <f>IF(AVERAGE('CT (CTR)'!$H$176:'CT (CTR)'!$H$199)&lt;&gt;0,'CT (CTR)'!$H$190/AVERAGE('CT (CTR)'!$H$176:'CT (CTR)'!$H$199),0)</f>
        <v>1.4652310082387836</v>
      </c>
      <c r="V10" s="626">
        <f>IF(AVERAGE('CT (CTR)'!$I$176:'CT (CTR)'!$I$199)&lt;&gt;0,'CT (CTR)'!$I$190/AVERAGE('CT (CTR)'!$I$176:'CT (CTR)'!$I$199),0)</f>
        <v>0.5643579929743614</v>
      </c>
      <c r="W10" s="626">
        <f>IF(AVERAGE('CT (CTR)'!$J$176:'CT (CTR)'!$J$199)&lt;&gt;0,'CT (CTR)'!$J$190/AVERAGE('CT (CTR)'!$J$176:'CT (CTR)'!$J$199),0)</f>
        <v>1.2062536064627813</v>
      </c>
      <c r="X10" s="626">
        <f>IF(AVERAGE('CT (CTR)'!$K$176:'CT (CTR)'!$K$199)&lt;&gt;0,'CT (CTR)'!$K$190/AVERAGE('CT (CTR)'!$K$176:'CT (CTR)'!$K$199),0)</f>
        <v>0.67680420030709632</v>
      </c>
      <c r="Y10" s="626">
        <f>IF(AVERAGE('CT (CTR)'!$L$176:'CT (CTR)'!$L$199)&lt;&gt;0,'CT (CTR)'!$L$190/AVERAGE('CT (CTR)'!$L$176:'CT (CTR)'!$L$199),0)</f>
        <v>0.31058904819485328</v>
      </c>
      <c r="Z10" s="626">
        <f>IF(AVERAGE('CT (CTR)'!$M$176:'CT (CTR)'!$M$199)&lt;&gt;0,'CT (CTR)'!$M$190/AVERAGE('CT (CTR)'!$M$176:'CT (CTR)'!$M$199),0)</f>
        <v>0.52559617778581413</v>
      </c>
      <c r="AA10" s="626">
        <f>IF(AVERAGE('CT (CTR)'!$N$176:'CT (CTR)'!$N$199)&lt;&gt;0,'CT (CTR)'!$N$190/AVERAGE('CT (CTR)'!$N$176:'CT (CTR)'!$N$199),0)</f>
        <v>0.7294348069390032</v>
      </c>
      <c r="AB10" s="626">
        <f>IF(AVERAGE('CT (CTR)'!$O$176:'CT (CTR)'!$O$199)&lt;&gt;0,'CT (CTR)'!$O$190/AVERAGE('CT (CTR)'!$O$176:'CT (CTR)'!$O$199),0)</f>
        <v>1.3952153110047822</v>
      </c>
      <c r="AC10" s="626">
        <f>IF(AVERAGE('CT (CTR)'!$P$176:'CT (CTR)'!$P$199)&lt;&gt;0,'CT (CTR)'!$P$190/AVERAGE('CT (CTR)'!$P$176:'CT (CTR)'!$P$199),0)</f>
        <v>0.60545067711323663</v>
      </c>
      <c r="AD10" s="626">
        <f>IF(AVERAGE('CT (CTR)'!$Q$176:'CT (CTR)'!$Q$199)&lt;&gt;0,'CT (CTR)'!$Q$190/AVERAGE('CT (CTR)'!$Q$176:'CT (CTR)'!$Q$199),0)</f>
        <v>0.69441407541125499</v>
      </c>
      <c r="AE10" s="626">
        <f>IF(AVERAGE('CT (CTR)'!$R$176:'CT (CTR)'!$R$199)&lt;&gt;0,'CT (CTR)'!$R$190/AVERAGE('CT (CTR)'!$R$176:'CT (CTR)'!$R$199),0)</f>
        <v>0.72011314162114171</v>
      </c>
      <c r="AF10" s="626">
        <f>IF(AVERAGE('CT (CTR)'!$S$176:'CT (CTR)'!$S$199)&lt;&gt;0,'CT (CTR)'!$S$190/AVERAGE('CT (CTR)'!$S$176:'CT (CTR)'!$S$199),0)</f>
        <v>1.1696425376605717</v>
      </c>
      <c r="AG10" s="626">
        <f>IF(AVERAGE('CT (CTR)'!$G$244:'CT (CTR)'!$G$267)&lt;&gt;0,'CT (CTR)'!$G$258/AVERAGE('CT (CTR)'!$G$244:'CT (CTR)'!$G$267),0)</f>
        <v>1.2360603122062406</v>
      </c>
      <c r="AH10" s="626">
        <f>IF(AVERAGE('CT (CTR)'!$H$244:'CT (CTR)'!$H$267)&lt;&gt;0,'CT (CTR)'!$H$258/AVERAGE('CT (CTR)'!$H$244:'CT (CTR)'!$H$267),0)</f>
        <v>1.3281265881505753</v>
      </c>
      <c r="AI10" s="626">
        <f>IF(AVERAGE('CT (CTR)'!$I$244:'CT (CTR)'!$I$267)&lt;&gt;0,'CT (CTR)'!$I$258/AVERAGE('CT (CTR)'!$I$244:'CT (CTR)'!$I$267),0)</f>
        <v>1.811069139728914</v>
      </c>
      <c r="AJ10" s="626">
        <f>IF(AVERAGE('CT (CTR)'!$J$244:'CT (CTR)'!$J$267)&lt;&gt;0,'CT (CTR)'!$J$258/AVERAGE('CT (CTR)'!$J$244:'CT (CTR)'!$J$267),0)</f>
        <v>0.99999569636782493</v>
      </c>
      <c r="AK10" s="626">
        <f>IF(AVERAGE('CT (CTR)'!$K$244:'CT (CTR)'!$K$267)&lt;&gt;0,'CT (CTR)'!$K$258/AVERAGE('CT (CTR)'!$K$244:'CT (CTR)'!$K$267),0)</f>
        <v>2.0345733646798476</v>
      </c>
      <c r="AL10" s="626">
        <f>IF(AVERAGE('CT (CTR)'!$L$244:'CT (CTR)'!$L$267)&lt;&gt;0,'CT (CTR)'!$L$258/AVERAGE('CT (CTR)'!$L$244:'CT (CTR)'!$L$267),0)</f>
        <v>0.99991714044039592</v>
      </c>
      <c r="AM10" s="626">
        <f>IF(AVERAGE('CT (CTR)'!$M$244:'CT (CTR)'!$M$267)&lt;&gt;0,'CT (CTR)'!$M$258/AVERAGE('CT (CTR)'!$M$244:'CT (CTR)'!$M$267),0)</f>
        <v>1.6770451408587856</v>
      </c>
      <c r="AN10" s="626">
        <f>IF(AVERAGE('CT (CTR)'!$N$244:'CT (CTR)'!$N$267)&lt;&gt;0,'CT (CTR)'!$N$258/AVERAGE('CT (CTR)'!$N$244:'CT (CTR)'!$N$267),0)</f>
        <v>1.099218134432389</v>
      </c>
      <c r="AO10" s="626">
        <f>IF(AVERAGE('CT (CTR)'!$O$244:'CT (CTR)'!$O$267)&lt;&gt;0,'CT (CTR)'!$O$258/AVERAGE('CT (CTR)'!$O$244:'CT (CTR)'!$O$267),0)</f>
        <v>0.90608576893620663</v>
      </c>
    </row>
    <row r="11" spans="1:41" x14ac:dyDescent="0.25">
      <c r="A11" s="625">
        <v>10</v>
      </c>
      <c r="B11" s="626">
        <f>IF(AVERAGE('CT (CTR)'!$G$6:'CT (CTR)'!$G$29)&lt;&gt;0,'CT (CTR)'!$G$21/AVERAGE('CT (CTR)'!$G$6:'CT (CTR)'!$G$29),0)</f>
        <v>0</v>
      </c>
      <c r="C11" s="626">
        <f>IF(AVERAGE('CT (CTR)'!$G$40:'CT (CTR)'!$G$63)&lt;&gt;0,'CT (CTR)'!$G$55/AVERAGE('CT (CTR)'!$G$40:'CT (CTR)'!$G$63),0)</f>
        <v>1.8824631489790227</v>
      </c>
      <c r="D11" s="626">
        <f>IF(AVERAGE('CT (CTR)'!$H$40:'CT (CTR)'!$H$63)&lt;&gt;0,'CT (CTR)'!$H$55/AVERAGE('CT (CTR)'!$H$40:'CT (CTR)'!$H$63),0)</f>
        <v>1.4008467471937667</v>
      </c>
      <c r="E11" s="626">
        <f>IF(AVERAGE('CT (CTR)'!$I$40:'CT (CTR)'!$I$63)&lt;&gt;0,'CT (CTR)'!$I$55/AVERAGE('CT (CTR)'!$I$40:'CT (CTR)'!$I$63),0)</f>
        <v>1.9811029435715903</v>
      </c>
      <c r="F11" s="626">
        <f>IF(AVERAGE('CT (CTR)'!$J$40:'CT (CTR)'!$J$63)&lt;&gt;0,'CT (CTR)'!$J$55/AVERAGE('CT (CTR)'!$J$40:'CT (CTR)'!$J$63),0)</f>
        <v>1.3545305142331632</v>
      </c>
      <c r="G11" s="626">
        <f>IF(AVERAGE('CT (CTR)'!$K$40:'CT (CTR)'!$K$63)&lt;&gt;0,'CT (CTR)'!$K$55/AVERAGE('CT (CTR)'!$K$40:'CT (CTR)'!$K$63),0)</f>
        <v>0.980610361958837</v>
      </c>
      <c r="H11" s="626">
        <f>IF(AVERAGE('CT (CTR)'!$L$40:'CT (CTR)'!$L$63)&lt;&gt;0,'CT (CTR)'!$L$55/AVERAGE('CT (CTR)'!$L$40:'CT (CTR)'!$L$63),0)</f>
        <v>1.2074748442740795</v>
      </c>
      <c r="I11" s="626">
        <f>IF(AVERAGE('CT (CTR)'!$M$40:'CT (CTR)'!$M$63)&lt;&gt;0,'CT (CTR)'!$M$55/AVERAGE('CT (CTR)'!$M$40:'CT (CTR)'!$M$63),0)</f>
        <v>1.0019893718490274</v>
      </c>
      <c r="J11" s="626">
        <f>IF(AVERAGE('CT (CTR)'!$N$40:'CT (CTR)'!$N$63)&lt;&gt;0,'CT (CTR)'!$N$55/AVERAGE('CT (CTR)'!$N$40:'CT (CTR)'!$N$63),0)</f>
        <v>0.57076360193686393</v>
      </c>
      <c r="K11" s="626">
        <f>IF(AVERAGE('CT (CTR)'!$O$40:'CT (CTR)'!$O$63)&lt;&gt;0,'CT (CTR)'!$O$55/AVERAGE('CT (CTR)'!$O$40:'CT (CTR)'!$O$63),0)</f>
        <v>0.10561987962532048</v>
      </c>
      <c r="L11" s="626">
        <f>IF(AVERAGE('CT (CTR)'!$P$40:'CT (CTR)'!$P$63)&lt;&gt;0,'CT (CTR)'!$P$55/AVERAGE('CT (CTR)'!$P$40:'CT (CTR)'!$P$63),0)</f>
        <v>2.8260767464196404</v>
      </c>
      <c r="M11" s="626">
        <f>IF(AVERAGE('CT (CTR)'!$Q$40:'CT (CTR)'!$Q$63)&lt;&gt;0,'CT (CTR)'!$Q$55/AVERAGE('CT (CTR)'!$Q$40:'CT (CTR)'!$Q$63),0)</f>
        <v>1.2055017829852244</v>
      </c>
      <c r="N11" s="626">
        <f>IF(AVERAGE('CT (CTR)'!$R$40:'CT (CTR)'!$R$63)&lt;&gt;0,'CT (CTR)'!$R$55/AVERAGE('CT (CTR)'!$R$40:'CT (CTR)'!$R$63),0)</f>
        <v>1.3734813288494063</v>
      </c>
      <c r="O11" s="626">
        <f>IF(AVERAGE('CT (CTR)'!$S$40:'CT (CTR)'!$S$63)&lt;&gt;0,'CT (CTR)'!$S$55/AVERAGE('CT (CTR)'!$S$40:'CT (CTR)'!$S$63),0)</f>
        <v>0.63972092285736992</v>
      </c>
      <c r="P11" s="626">
        <f>IF(AVERAGE('CT (CTR)'!$T$40:'CT (CTR)'!$T$63)&lt;&gt;0,'CT (CTR)'!$T$55/AVERAGE('CT (CTR)'!$T$40:'CT (CTR)'!$T$63),0)</f>
        <v>0.85233097388332868</v>
      </c>
      <c r="Q11" s="626">
        <f>IF(AVERAGE('CT (CTR)'!$G$142:'CT (CTR)'!$G$165)&lt;&gt;0,'CT (CTR)'!$G$157/AVERAGE('CT (CTR)'!$G$142:'CT (CTR)'!$G$165),0)</f>
        <v>0.67649032709871293</v>
      </c>
      <c r="R11" s="626">
        <f>IF(AVERAGE('CT (CTR)'!$H$142:'CT (CTR)'!$H$165)&lt;&gt;0,'CT (CTR)'!$H$157/AVERAGE('CT (CTR)'!$H$142:'CT (CTR)'!$H$165),0)</f>
        <v>0.30872805902773515</v>
      </c>
      <c r="S11" s="626">
        <f>IF(AVERAGE('CT (CTR)'!$I$142:'CT (CTR)'!$I$165)&lt;&gt;0,'CT (CTR)'!$I$157/AVERAGE('CT (CTR)'!$I$142:'CT (CTR)'!$I$165),0)</f>
        <v>0.81882148124864174</v>
      </c>
      <c r="T11" s="626">
        <f>IF(AVERAGE('CT (CTR)'!$G$176:'CT (CTR)'!$G$199)&lt;&gt;0,'CT (CTR)'!$G$191/AVERAGE('CT (CTR)'!$G$176:'CT (CTR)'!$G$199),0)</f>
        <v>0.66753754538329302</v>
      </c>
      <c r="U11" s="626">
        <f>IF(AVERAGE('CT (CTR)'!$H$176:'CT (CTR)'!$H$199)&lt;&gt;0,'CT (CTR)'!$H$191/AVERAGE('CT (CTR)'!$H$176:'CT (CTR)'!$H$199),0)</f>
        <v>1.8416533760835609</v>
      </c>
      <c r="V11" s="626">
        <f>IF(AVERAGE('CT (CTR)'!$I$176:'CT (CTR)'!$I$199)&lt;&gt;0,'CT (CTR)'!$I$191/AVERAGE('CT (CTR)'!$I$176:'CT (CTR)'!$I$199),0)</f>
        <v>0.57452943952183744</v>
      </c>
      <c r="W11" s="626">
        <f>IF(AVERAGE('CT (CTR)'!$J$176:'CT (CTR)'!$J$199)&lt;&gt;0,'CT (CTR)'!$J$191/AVERAGE('CT (CTR)'!$J$176:'CT (CTR)'!$J$199),0)</f>
        <v>1.0530510675129803</v>
      </c>
      <c r="X11" s="626">
        <f>IF(AVERAGE('CT (CTR)'!$K$176:'CT (CTR)'!$K$199)&lt;&gt;0,'CT (CTR)'!$K$191/AVERAGE('CT (CTR)'!$K$176:'CT (CTR)'!$K$199),0)</f>
        <v>1.0072019416513931</v>
      </c>
      <c r="Y11" s="626">
        <f>IF(AVERAGE('CT (CTR)'!$L$176:'CT (CTR)'!$L$199)&lt;&gt;0,'CT (CTR)'!$L$191/AVERAGE('CT (CTR)'!$L$176:'CT (CTR)'!$L$199),0)</f>
        <v>0.43392641216099609</v>
      </c>
      <c r="Z11" s="626">
        <f>IF(AVERAGE('CT (CTR)'!$M$176:'CT (CTR)'!$M$199)&lt;&gt;0,'CT (CTR)'!$M$191/AVERAGE('CT (CTR)'!$M$176:'CT (CTR)'!$M$199),0)</f>
        <v>0.60137282583749985</v>
      </c>
      <c r="AA11" s="626">
        <f>IF(AVERAGE('CT (CTR)'!$N$176:'CT (CTR)'!$N$199)&lt;&gt;0,'CT (CTR)'!$N$191/AVERAGE('CT (CTR)'!$N$176:'CT (CTR)'!$N$199),0)</f>
        <v>0.71936205931729036</v>
      </c>
      <c r="AB11" s="626">
        <f>IF(AVERAGE('CT (CTR)'!$O$176:'CT (CTR)'!$O$199)&lt;&gt;0,'CT (CTR)'!$O$191/AVERAGE('CT (CTR)'!$O$176:'CT (CTR)'!$O$199),0)</f>
        <v>1.4345864661654133</v>
      </c>
      <c r="AC11" s="626">
        <f>IF(AVERAGE('CT (CTR)'!$P$176:'CT (CTR)'!$P$199)&lt;&gt;0,'CT (CTR)'!$P$191/AVERAGE('CT (CTR)'!$P$176:'CT (CTR)'!$P$199),0)</f>
        <v>0.83158285772179275</v>
      </c>
      <c r="AD11" s="626">
        <f>IF(AVERAGE('CT (CTR)'!$Q$176:'CT (CTR)'!$Q$199)&lt;&gt;0,'CT (CTR)'!$Q$191/AVERAGE('CT (CTR)'!$Q$176:'CT (CTR)'!$Q$199),0)</f>
        <v>0.43629706847016364</v>
      </c>
      <c r="AE11" s="626">
        <f>IF(AVERAGE('CT (CTR)'!$R$176:'CT (CTR)'!$R$199)&lt;&gt;0,'CT (CTR)'!$R$191/AVERAGE('CT (CTR)'!$R$176:'CT (CTR)'!$R$199),0)</f>
        <v>0.69615373949696435</v>
      </c>
      <c r="AF11" s="626">
        <f>IF(AVERAGE('CT (CTR)'!$S$176:'CT (CTR)'!$S$199)&lt;&gt;0,'CT (CTR)'!$S$191/AVERAGE('CT (CTR)'!$S$176:'CT (CTR)'!$S$199),0)</f>
        <v>0.91802340143843308</v>
      </c>
      <c r="AG11" s="626">
        <f>IF(AVERAGE('CT (CTR)'!$G$244:'CT (CTR)'!$G$267)&lt;&gt;0,'CT (CTR)'!$G$259/AVERAGE('CT (CTR)'!$G$244:'CT (CTR)'!$G$267),0)</f>
        <v>1.2814555156931218</v>
      </c>
      <c r="AH11" s="626">
        <f>IF(AVERAGE('CT (CTR)'!$H$244:'CT (CTR)'!$H$267)&lt;&gt;0,'CT (CTR)'!$H$259/AVERAGE('CT (CTR)'!$H$244:'CT (CTR)'!$H$267),0)</f>
        <v>1.2115321790380795</v>
      </c>
      <c r="AI11" s="626">
        <f>IF(AVERAGE('CT (CTR)'!$I$244:'CT (CTR)'!$I$267)&lt;&gt;0,'CT (CTR)'!$I$259/AVERAGE('CT (CTR)'!$I$244:'CT (CTR)'!$I$267),0)</f>
        <v>2.0434726857883079</v>
      </c>
      <c r="AJ11" s="626">
        <f>IF(AVERAGE('CT (CTR)'!$J$244:'CT (CTR)'!$J$267)&lt;&gt;0,'CT (CTR)'!$J$259/AVERAGE('CT (CTR)'!$J$244:'CT (CTR)'!$J$267),0)</f>
        <v>1.1539737086885151</v>
      </c>
      <c r="AK11" s="626">
        <f>IF(AVERAGE('CT (CTR)'!$K$244:'CT (CTR)'!$K$267)&lt;&gt;0,'CT (CTR)'!$K$259/AVERAGE('CT (CTR)'!$K$244:'CT (CTR)'!$K$267),0)</f>
        <v>1.8354307841239121</v>
      </c>
      <c r="AL11" s="626">
        <f>IF(AVERAGE('CT (CTR)'!$L$244:'CT (CTR)'!$L$267)&lt;&gt;0,'CT (CTR)'!$L$259/AVERAGE('CT (CTR)'!$L$244:'CT (CTR)'!$L$267),0)</f>
        <v>0.98367473754789103</v>
      </c>
      <c r="AM11" s="626">
        <f>IF(AVERAGE('CT (CTR)'!$M$244:'CT (CTR)'!$M$267)&lt;&gt;0,'CT (CTR)'!$M$259/AVERAGE('CT (CTR)'!$M$244:'CT (CTR)'!$M$267),0)</f>
        <v>1.6475270328628153</v>
      </c>
      <c r="AN11" s="626">
        <f>IF(AVERAGE('CT (CTR)'!$N$244:'CT (CTR)'!$N$267)&lt;&gt;0,'CT (CTR)'!$N$259/AVERAGE('CT (CTR)'!$N$244:'CT (CTR)'!$N$267),0)</f>
        <v>1.2220740650948538</v>
      </c>
      <c r="AO11" s="626">
        <f>IF(AVERAGE('CT (CTR)'!$O$244:'CT (CTR)'!$O$267)&lt;&gt;0,'CT (CTR)'!$O$259/AVERAGE('CT (CTR)'!$O$244:'CT (CTR)'!$O$267),0)</f>
        <v>0.84333794862314682</v>
      </c>
    </row>
    <row r="12" spans="1:41" x14ac:dyDescent="0.25">
      <c r="A12" s="625">
        <v>11</v>
      </c>
      <c r="B12" s="626">
        <f>IF(AVERAGE('CT (CTR)'!$G$6:'CT (CTR)'!$G$29)&lt;&gt;0,'CT (CTR)'!$G$22/AVERAGE('CT (CTR)'!$G$6:'CT (CTR)'!$G$29),0)</f>
        <v>0</v>
      </c>
      <c r="C12" s="626">
        <f>IF(AVERAGE('CT (CTR)'!$G$40:'CT (CTR)'!$G$63)&lt;&gt;0,'CT (CTR)'!$G$56/AVERAGE('CT (CTR)'!$G$40:'CT (CTR)'!$G$63),0)</f>
        <v>2.0667328908413567</v>
      </c>
      <c r="D12" s="626">
        <f>IF(AVERAGE('CT (CTR)'!$H$40:'CT (CTR)'!$H$63)&lt;&gt;0,'CT (CTR)'!$H$56/AVERAGE('CT (CTR)'!$H$40:'CT (CTR)'!$H$63),0)</f>
        <v>1.5592717763237673</v>
      </c>
      <c r="E12" s="626">
        <f>IF(AVERAGE('CT (CTR)'!$I$40:'CT (CTR)'!$I$63)&lt;&gt;0,'CT (CTR)'!$I$56/AVERAGE('CT (CTR)'!$I$40:'CT (CTR)'!$I$63),0)</f>
        <v>3.2634100261675023</v>
      </c>
      <c r="F12" s="626">
        <f>IF(AVERAGE('CT (CTR)'!$J$40:'CT (CTR)'!$J$63)&lt;&gt;0,'CT (CTR)'!$J$56/AVERAGE('CT (CTR)'!$J$40:'CT (CTR)'!$J$63),0)</f>
        <v>1.3663155564260001</v>
      </c>
      <c r="G12" s="626">
        <f>IF(AVERAGE('CT (CTR)'!$K$40:'CT (CTR)'!$K$63)&lt;&gt;0,'CT (CTR)'!$K$56/AVERAGE('CT (CTR)'!$K$40:'CT (CTR)'!$K$63),0)</f>
        <v>0.78955287437899291</v>
      </c>
      <c r="H12" s="626">
        <f>IF(AVERAGE('CT (CTR)'!$L$40:'CT (CTR)'!$L$63)&lt;&gt;0,'CT (CTR)'!$L$56/AVERAGE('CT (CTR)'!$L$40:'CT (CTR)'!$L$63),0)</f>
        <v>1.1576723798798936</v>
      </c>
      <c r="I12" s="626">
        <f>IF(AVERAGE('CT (CTR)'!$M$40:'CT (CTR)'!$M$63)&lt;&gt;0,'CT (CTR)'!$M$56/AVERAGE('CT (CTR)'!$M$40:'CT (CTR)'!$M$63),0)</f>
        <v>1.0868362050812013</v>
      </c>
      <c r="J12" s="626">
        <f>IF(AVERAGE('CT (CTR)'!$N$40:'CT (CTR)'!$N$63)&lt;&gt;0,'CT (CTR)'!$N$56/AVERAGE('CT (CTR)'!$N$40:'CT (CTR)'!$N$63),0)</f>
        <v>0.56389976430212796</v>
      </c>
      <c r="K12" s="626">
        <f>IF(AVERAGE('CT (CTR)'!$O$40:'CT (CTR)'!$O$63)&lt;&gt;0,'CT (CTR)'!$O$56/AVERAGE('CT (CTR)'!$O$40:'CT (CTR)'!$O$63),0)</f>
        <v>4.7225354268241202E-3</v>
      </c>
      <c r="L12" s="626">
        <f>IF(AVERAGE('CT (CTR)'!$P$40:'CT (CTR)'!$P$63)&lt;&gt;0,'CT (CTR)'!$P$56/AVERAGE('CT (CTR)'!$P$40:'CT (CTR)'!$P$63),0)</f>
        <v>2.9677865736959834</v>
      </c>
      <c r="M12" s="626">
        <f>IF(AVERAGE('CT (CTR)'!$Q$40:'CT (CTR)'!$Q$63)&lt;&gt;0,'CT (CTR)'!$Q$56/AVERAGE('CT (CTR)'!$Q$40:'CT (CTR)'!$Q$63),0)</f>
        <v>1.2173204279164533</v>
      </c>
      <c r="N12" s="626">
        <f>IF(AVERAGE('CT (CTR)'!$R$40:'CT (CTR)'!$R$63)&lt;&gt;0,'CT (CTR)'!$R$56/AVERAGE('CT (CTR)'!$R$40:'CT (CTR)'!$R$63),0)</f>
        <v>1.1502439593336315</v>
      </c>
      <c r="O12" s="626">
        <f>IF(AVERAGE('CT (CTR)'!$S$40:'CT (CTR)'!$S$63)&lt;&gt;0,'CT (CTR)'!$S$56/AVERAGE('CT (CTR)'!$S$40:'CT (CTR)'!$S$63),0)</f>
        <v>2.1091889320542392</v>
      </c>
      <c r="P12" s="626">
        <f>IF(AVERAGE('CT (CTR)'!$T$40:'CT (CTR)'!$T$63)&lt;&gt;0,'CT (CTR)'!$T$56/AVERAGE('CT (CTR)'!$T$40:'CT (CTR)'!$T$63),0)</f>
        <v>1.2368251714114551</v>
      </c>
      <c r="Q12" s="626">
        <f>IF(AVERAGE('CT (CTR)'!$G$142:'CT (CTR)'!$G$165)&lt;&gt;0,'CT (CTR)'!$G$158/AVERAGE('CT (CTR)'!$G$142:'CT (CTR)'!$G$165),0)</f>
        <v>0.64497680254442513</v>
      </c>
      <c r="R12" s="626">
        <f>IF(AVERAGE('CT (CTR)'!$H$142:'CT (CTR)'!$H$165)&lt;&gt;0,'CT (CTR)'!$H$158/AVERAGE('CT (CTR)'!$H$142:'CT (CTR)'!$H$165),0)</f>
        <v>2.1755229580085178</v>
      </c>
      <c r="S12" s="626">
        <f>IF(AVERAGE('CT (CTR)'!$I$142:'CT (CTR)'!$I$165)&lt;&gt;0,'CT (CTR)'!$I$158/AVERAGE('CT (CTR)'!$I$142:'CT (CTR)'!$I$165),0)</f>
        <v>0.7863239596682533</v>
      </c>
      <c r="T12" s="626">
        <f>IF(AVERAGE('CT (CTR)'!$G$176:'CT (CTR)'!$G$199)&lt;&gt;0,'CT (CTR)'!$G$192/AVERAGE('CT (CTR)'!$G$176:'CT (CTR)'!$G$199),0)</f>
        <v>0.70119550626582072</v>
      </c>
      <c r="U12" s="626">
        <f>IF(AVERAGE('CT (CTR)'!$H$176:'CT (CTR)'!$H$199)&lt;&gt;0,'CT (CTR)'!$H$192/AVERAGE('CT (CTR)'!$H$176:'CT (CTR)'!$H$199),0)</f>
        <v>1.6885458587093953</v>
      </c>
      <c r="V12" s="626">
        <f>IF(AVERAGE('CT (CTR)'!$I$176:'CT (CTR)'!$I$199)&lt;&gt;0,'CT (CTR)'!$I$192/AVERAGE('CT (CTR)'!$I$176:'CT (CTR)'!$I$199),0)</f>
        <v>0.70885545011272466</v>
      </c>
      <c r="W12" s="626">
        <f>IF(AVERAGE('CT (CTR)'!$J$176:'CT (CTR)'!$J$199)&lt;&gt;0,'CT (CTR)'!$J$192/AVERAGE('CT (CTR)'!$J$176:'CT (CTR)'!$J$199),0)</f>
        <v>0.67772648586266604</v>
      </c>
      <c r="X12" s="626">
        <f>IF(AVERAGE('CT (CTR)'!$K$176:'CT (CTR)'!$K$199)&lt;&gt;0,'CT (CTR)'!$K$192/AVERAGE('CT (CTR)'!$K$176:'CT (CTR)'!$K$199),0)</f>
        <v>1.4263608895933413</v>
      </c>
      <c r="Y12" s="626">
        <f>IF(AVERAGE('CT (CTR)'!$L$176:'CT (CTR)'!$L$199)&lt;&gt;0,'CT (CTR)'!$L$192/AVERAGE('CT (CTR)'!$L$176:'CT (CTR)'!$L$199),0)</f>
        <v>0.73380549317671562</v>
      </c>
      <c r="Z12" s="626">
        <f>IF(AVERAGE('CT (CTR)'!$M$176:'CT (CTR)'!$M$199)&lt;&gt;0,'CT (CTR)'!$M$192/AVERAGE('CT (CTR)'!$M$176:'CT (CTR)'!$M$199),0)</f>
        <v>0.62574152763385815</v>
      </c>
      <c r="AA12" s="626">
        <f>IF(AVERAGE('CT (CTR)'!$N$176:'CT (CTR)'!$N$199)&lt;&gt;0,'CT (CTR)'!$N$192/AVERAGE('CT (CTR)'!$N$176:'CT (CTR)'!$N$199),0)</f>
        <v>0.63584219362059313</v>
      </c>
      <c r="AB12" s="626">
        <f>IF(AVERAGE('CT (CTR)'!$O$176:'CT (CTR)'!$O$199)&lt;&gt;0,'CT (CTR)'!$O$192/AVERAGE('CT (CTR)'!$O$176:'CT (CTR)'!$O$199),0)</f>
        <v>0.64347231715652653</v>
      </c>
      <c r="AC12" s="626">
        <f>IF(AVERAGE('CT (CTR)'!$P$176:'CT (CTR)'!$P$199)&lt;&gt;0,'CT (CTR)'!$P$192/AVERAGE('CT (CTR)'!$P$176:'CT (CTR)'!$P$199),0)</f>
        <v>1.4427071020904392</v>
      </c>
      <c r="AD12" s="626">
        <f>IF(AVERAGE('CT (CTR)'!$Q$176:'CT (CTR)'!$Q$199)&lt;&gt;0,'CT (CTR)'!$Q$192/AVERAGE('CT (CTR)'!$Q$176:'CT (CTR)'!$Q$199),0)</f>
        <v>0.49304619765579366</v>
      </c>
      <c r="AE12" s="626">
        <f>IF(AVERAGE('CT (CTR)'!$R$176:'CT (CTR)'!$R$199)&lt;&gt;0,'CT (CTR)'!$R$192/AVERAGE('CT (CTR)'!$R$176:'CT (CTR)'!$R$199),0)</f>
        <v>0.7886636532542074</v>
      </c>
      <c r="AF12" s="626">
        <f>IF(AVERAGE('CT (CTR)'!$S$176:'CT (CTR)'!$S$199)&lt;&gt;0,'CT (CTR)'!$S$192/AVERAGE('CT (CTR)'!$S$176:'CT (CTR)'!$S$199),0)</f>
        <v>0.92832862203456545</v>
      </c>
      <c r="AG12" s="626">
        <f>IF(AVERAGE('CT (CTR)'!$G$244:'CT (CTR)'!$G$267)&lt;&gt;0,'CT (CTR)'!$G$260/AVERAGE('CT (CTR)'!$G$244:'CT (CTR)'!$G$267),0)</f>
        <v>1.2779234070160173</v>
      </c>
      <c r="AH12" s="626">
        <f>IF(AVERAGE('CT (CTR)'!$H$244:'CT (CTR)'!$H$267)&lt;&gt;0,'CT (CTR)'!$H$260/AVERAGE('CT (CTR)'!$H$244:'CT (CTR)'!$H$267),0)</f>
        <v>1.2745639349723987</v>
      </c>
      <c r="AI12" s="626">
        <f>IF(AVERAGE('CT (CTR)'!$I$244:'CT (CTR)'!$I$267)&lt;&gt;0,'CT (CTR)'!$I$260/AVERAGE('CT (CTR)'!$I$244:'CT (CTR)'!$I$267),0)</f>
        <v>2.1392981159397464</v>
      </c>
      <c r="AJ12" s="626">
        <f>IF(AVERAGE('CT (CTR)'!$J$244:'CT (CTR)'!$J$267)&lt;&gt;0,'CT (CTR)'!$J$260/AVERAGE('CT (CTR)'!$J$244:'CT (CTR)'!$J$267),0)</f>
        <v>1.6209700794850601</v>
      </c>
      <c r="AK12" s="626">
        <f>IF(AVERAGE('CT (CTR)'!$K$244:'CT (CTR)'!$K$267)&lt;&gt;0,'CT (CTR)'!$K$260/AVERAGE('CT (CTR)'!$K$244:'CT (CTR)'!$K$267),0)</f>
        <v>1.377402848845253</v>
      </c>
      <c r="AL12" s="626">
        <f>IF(AVERAGE('CT (CTR)'!$L$244:'CT (CTR)'!$L$267)&lt;&gt;0,'CT (CTR)'!$L$260/AVERAGE('CT (CTR)'!$L$244:'CT (CTR)'!$L$267),0)</f>
        <v>1.0170786188671495</v>
      </c>
      <c r="AM12" s="626">
        <f>IF(AVERAGE('CT (CTR)'!$M$244:'CT (CTR)'!$M$267)&lt;&gt;0,'CT (CTR)'!$M$260/AVERAGE('CT (CTR)'!$M$244:'CT (CTR)'!$M$267),0)</f>
        <v>1.6857329144686146</v>
      </c>
      <c r="AN12" s="626">
        <f>IF(AVERAGE('CT (CTR)'!$N$244:'CT (CTR)'!$N$267)&lt;&gt;0,'CT (CTR)'!$N$260/AVERAGE('CT (CTR)'!$N$244:'CT (CTR)'!$N$267),0)</f>
        <v>1.1768086954764923</v>
      </c>
      <c r="AO12" s="626">
        <f>IF(AVERAGE('CT (CTR)'!$O$244:'CT (CTR)'!$O$267)&lt;&gt;0,'CT (CTR)'!$O$260/AVERAGE('CT (CTR)'!$O$244:'CT (CTR)'!$O$267),0)</f>
        <v>0.83636596858836287</v>
      </c>
    </row>
    <row r="13" spans="1:41" x14ac:dyDescent="0.25">
      <c r="A13" s="625">
        <v>12</v>
      </c>
      <c r="B13" s="626">
        <f>IF(AVERAGE('CT (CTR)'!$G$6:'CT (CTR)'!$G$29)&lt;&gt;0,'CT (CTR)'!$G$23/AVERAGE('CT (CTR)'!$G$6:'CT (CTR)'!$G$29),0)</f>
        <v>0</v>
      </c>
      <c r="C13" s="626">
        <f>IF(AVERAGE('CT (CTR)'!$G$40:'CT (CTR)'!$G$63)&lt;&gt;0,'CT (CTR)'!$G$57/AVERAGE('CT (CTR)'!$G$40:'CT (CTR)'!$G$63),0)</f>
        <v>1.8079043561585579</v>
      </c>
      <c r="D13" s="626">
        <f>IF(AVERAGE('CT (CTR)'!$H$40:'CT (CTR)'!$H$63)&lt;&gt;0,'CT (CTR)'!$H$57/AVERAGE('CT (CTR)'!$H$40:'CT (CTR)'!$H$63),0)</f>
        <v>1.4205612995407753</v>
      </c>
      <c r="E13" s="626">
        <f>IF(AVERAGE('CT (CTR)'!$I$40:'CT (CTR)'!$I$63)&lt;&gt;0,'CT (CTR)'!$I$57/AVERAGE('CT (CTR)'!$I$40:'CT (CTR)'!$I$63),0)</f>
        <v>3.8044452165604241</v>
      </c>
      <c r="F13" s="626">
        <f>IF(AVERAGE('CT (CTR)'!$J$40:'CT (CTR)'!$J$63)&lt;&gt;0,'CT (CTR)'!$J$57/AVERAGE('CT (CTR)'!$J$40:'CT (CTR)'!$J$63),0)</f>
        <v>1.3281674429694215</v>
      </c>
      <c r="G13" s="626">
        <f>IF(AVERAGE('CT (CTR)'!$K$40:'CT (CTR)'!$K$63)&lt;&gt;0,'CT (CTR)'!$K$57/AVERAGE('CT (CTR)'!$K$40:'CT (CTR)'!$K$63),0)</f>
        <v>0.54637331440738279</v>
      </c>
      <c r="H13" s="626">
        <f>IF(AVERAGE('CT (CTR)'!$L$40:'CT (CTR)'!$L$63)&lt;&gt;0,'CT (CTR)'!$L$57/AVERAGE('CT (CTR)'!$L$40:'CT (CTR)'!$L$63),0)</f>
        <v>1.1094360307182269</v>
      </c>
      <c r="I13" s="626">
        <f>IF(AVERAGE('CT (CTR)'!$M$40:'CT (CTR)'!$M$63)&lt;&gt;0,'CT (CTR)'!$M$57/AVERAGE('CT (CTR)'!$M$40:'CT (CTR)'!$M$63),0)</f>
        <v>1.1149004694719362</v>
      </c>
      <c r="J13" s="626">
        <f>IF(AVERAGE('CT (CTR)'!$N$40:'CT (CTR)'!$N$63)&lt;&gt;0,'CT (CTR)'!$N$57/AVERAGE('CT (CTR)'!$N$40:'CT (CTR)'!$N$63),0)</f>
        <v>0.6629914892358082</v>
      </c>
      <c r="K13" s="626">
        <f>IF(AVERAGE('CT (CTR)'!$O$40:'CT (CTR)'!$O$63)&lt;&gt;0,'CT (CTR)'!$O$57/AVERAGE('CT (CTR)'!$O$40:'CT (CTR)'!$O$63),0)</f>
        <v>0</v>
      </c>
      <c r="L13" s="626">
        <f>IF(AVERAGE('CT (CTR)'!$P$40:'CT (CTR)'!$P$63)&lt;&gt;0,'CT (CTR)'!$P$57/AVERAGE('CT (CTR)'!$P$40:'CT (CTR)'!$P$63),0)</f>
        <v>2.5049580245833418</v>
      </c>
      <c r="M13" s="626">
        <f>IF(AVERAGE('CT (CTR)'!$Q$40:'CT (CTR)'!$Q$63)&lt;&gt;0,'CT (CTR)'!$Q$57/AVERAGE('CT (CTR)'!$Q$40:'CT (CTR)'!$Q$63),0)</f>
        <v>1.1743250127356093</v>
      </c>
      <c r="N13" s="626">
        <f>IF(AVERAGE('CT (CTR)'!$R$40:'CT (CTR)'!$R$63)&lt;&gt;0,'CT (CTR)'!$R$57/AVERAGE('CT (CTR)'!$R$40:'CT (CTR)'!$R$63),0)</f>
        <v>0.9867231693330486</v>
      </c>
      <c r="O13" s="626">
        <f>IF(AVERAGE('CT (CTR)'!$S$40:'CT (CTR)'!$S$63)&lt;&gt;0,'CT (CTR)'!$S$57/AVERAGE('CT (CTR)'!$S$40:'CT (CTR)'!$S$63),0)</f>
        <v>2.5193054784745907</v>
      </c>
      <c r="P13" s="626">
        <f>IF(AVERAGE('CT (CTR)'!$T$40:'CT (CTR)'!$T$63)&lt;&gt;0,'CT (CTR)'!$T$57/AVERAGE('CT (CTR)'!$T$40:'CT (CTR)'!$T$63),0)</f>
        <v>1.5390418709920803</v>
      </c>
      <c r="Q13" s="626">
        <f>IF(AVERAGE('CT (CTR)'!$G$142:'CT (CTR)'!$G$165)&lt;&gt;0,'CT (CTR)'!$G$159/AVERAGE('CT (CTR)'!$G$142:'CT (CTR)'!$G$165),0)</f>
        <v>1.0525517201132122</v>
      </c>
      <c r="R13" s="626">
        <f>IF(AVERAGE('CT (CTR)'!$H$142:'CT (CTR)'!$H$165)&lt;&gt;0,'CT (CTR)'!$H$159/AVERAGE('CT (CTR)'!$H$142:'CT (CTR)'!$H$165),0)</f>
        <v>2.5044481797763787</v>
      </c>
      <c r="S13" s="626">
        <f>IF(AVERAGE('CT (CTR)'!$I$142:'CT (CTR)'!$I$165)&lt;&gt;0,'CT (CTR)'!$I$159/AVERAGE('CT (CTR)'!$I$142:'CT (CTR)'!$I$165),0)</f>
        <v>0.79793021737553749</v>
      </c>
      <c r="T13" s="626">
        <f>IF(AVERAGE('CT (CTR)'!$G$176:'CT (CTR)'!$G$199)&lt;&gt;0,'CT (CTR)'!$G$193/AVERAGE('CT (CTR)'!$G$176:'CT (CTR)'!$G$199),0)</f>
        <v>0.753448229263328</v>
      </c>
      <c r="U13" s="626">
        <f>IF(AVERAGE('CT (CTR)'!$H$176:'CT (CTR)'!$H$199)&lt;&gt;0,'CT (CTR)'!$H$193/AVERAGE('CT (CTR)'!$H$176:'CT (CTR)'!$H$199),0)</f>
        <v>1.3089502780692985</v>
      </c>
      <c r="V13" s="626">
        <f>IF(AVERAGE('CT (CTR)'!$I$176:'CT (CTR)'!$I$199)&lt;&gt;0,'CT (CTR)'!$I$193/AVERAGE('CT (CTR)'!$I$176:'CT (CTR)'!$I$199),0)</f>
        <v>0.88827137838830161</v>
      </c>
      <c r="W13" s="626">
        <f>IF(AVERAGE('CT (CTR)'!$J$176:'CT (CTR)'!$J$199)&lt;&gt;0,'CT (CTR)'!$J$193/AVERAGE('CT (CTR)'!$J$176:'CT (CTR)'!$J$199),0)</f>
        <v>0.60350548182342734</v>
      </c>
      <c r="X13" s="626">
        <f>IF(AVERAGE('CT (CTR)'!$K$176:'CT (CTR)'!$K$199)&lt;&gt;0,'CT (CTR)'!$K$193/AVERAGE('CT (CTR)'!$K$176:'CT (CTR)'!$K$199),0)</f>
        <v>1.8658081133290443</v>
      </c>
      <c r="Y13" s="626">
        <f>IF(AVERAGE('CT (CTR)'!$L$176:'CT (CTR)'!$L$199)&lt;&gt;0,'CT (CTR)'!$L$193/AVERAGE('CT (CTR)'!$L$176:'CT (CTR)'!$L$199),0)</f>
        <v>1.1535671100362748</v>
      </c>
      <c r="Z13" s="626">
        <f>IF(AVERAGE('CT (CTR)'!$M$176:'CT (CTR)'!$M$199)&lt;&gt;0,'CT (CTR)'!$M$193/AVERAGE('CT (CTR)'!$M$176:'CT (CTR)'!$M$199),0)</f>
        <v>0.54495761208976967</v>
      </c>
      <c r="AA13" s="626">
        <f>IF(AVERAGE('CT (CTR)'!$N$176:'CT (CTR)'!$N$199)&lt;&gt;0,'CT (CTR)'!$N$193/AVERAGE('CT (CTR)'!$N$176:'CT (CTR)'!$N$199),0)</f>
        <v>0.90193060996082663</v>
      </c>
      <c r="AB13" s="626">
        <f>IF(AVERAGE('CT (CTR)'!$O$176:'CT (CTR)'!$O$199)&lt;&gt;0,'CT (CTR)'!$O$193/AVERAGE('CT (CTR)'!$O$176:'CT (CTR)'!$O$199),0)</f>
        <v>0.73902939166096815</v>
      </c>
      <c r="AC13" s="626">
        <f>IF(AVERAGE('CT (CTR)'!$P$176:'CT (CTR)'!$P$199)&lt;&gt;0,'CT (CTR)'!$P$193/AVERAGE('CT (CTR)'!$P$176:'CT (CTR)'!$P$199),0)</f>
        <v>1.8236466178109503</v>
      </c>
      <c r="AD13" s="626">
        <f>IF(AVERAGE('CT (CTR)'!$Q$176:'CT (CTR)'!$Q$199)&lt;&gt;0,'CT (CTR)'!$Q$193/AVERAGE('CT (CTR)'!$Q$176:'CT (CTR)'!$Q$199),0)</f>
        <v>0.49548702041646375</v>
      </c>
      <c r="AE13" s="626">
        <f>IF(AVERAGE('CT (CTR)'!$R$176:'CT (CTR)'!$R$199)&lt;&gt;0,'CT (CTR)'!$R$193/AVERAGE('CT (CTR)'!$R$176:'CT (CTR)'!$R$199),0)</f>
        <v>0.80463658800366067</v>
      </c>
      <c r="AF13" s="626">
        <f>IF(AVERAGE('CT (CTR)'!$S$176:'CT (CTR)'!$S$199)&lt;&gt;0,'CT (CTR)'!$S$193/AVERAGE('CT (CTR)'!$S$176:'CT (CTR)'!$S$199),0)</f>
        <v>1.1000822986367085</v>
      </c>
      <c r="AG13" s="626">
        <f>IF(AVERAGE('CT (CTR)'!$G$244:'CT (CTR)'!$G$267)&lt;&gt;0,'CT (CTR)'!$G$261/AVERAGE('CT (CTR)'!$G$244:'CT (CTR)'!$G$267),0)</f>
        <v>1.2620899109205952</v>
      </c>
      <c r="AH13" s="626">
        <f>IF(AVERAGE('CT (CTR)'!$H$244:'CT (CTR)'!$H$267)&lt;&gt;0,'CT (CTR)'!$H$261/AVERAGE('CT (CTR)'!$H$244:'CT (CTR)'!$H$267),0)</f>
        <v>1.2431265821047117</v>
      </c>
      <c r="AI13" s="626">
        <f>IF(AVERAGE('CT (CTR)'!$I$244:'CT (CTR)'!$I$267)&lt;&gt;0,'CT (CTR)'!$I$261/AVERAGE('CT (CTR)'!$I$244:'CT (CTR)'!$I$267),0)</f>
        <v>1.7394020492840556</v>
      </c>
      <c r="AJ13" s="626">
        <f>IF(AVERAGE('CT (CTR)'!$J$244:'CT (CTR)'!$J$267)&lt;&gt;0,'CT (CTR)'!$J$261/AVERAGE('CT (CTR)'!$J$244:'CT (CTR)'!$J$267),0)</f>
        <v>1.6927735792498653</v>
      </c>
      <c r="AK13" s="626">
        <f>IF(AVERAGE('CT (CTR)'!$K$244:'CT (CTR)'!$K$267)&lt;&gt;0,'CT (CTR)'!$K$261/AVERAGE('CT (CTR)'!$K$244:'CT (CTR)'!$K$267),0)</f>
        <v>1.3807218918545157</v>
      </c>
      <c r="AL13" s="626">
        <f>IF(AVERAGE('CT (CTR)'!$L$244:'CT (CTR)'!$L$267)&lt;&gt;0,'CT (CTR)'!$L$261/AVERAGE('CT (CTR)'!$L$244:'CT (CTR)'!$L$267),0)</f>
        <v>1.0385275730859453</v>
      </c>
      <c r="AM13" s="626">
        <f>IF(AVERAGE('CT (CTR)'!$M$244:'CT (CTR)'!$M$267)&lt;&gt;0,'CT (CTR)'!$M$261/AVERAGE('CT (CTR)'!$M$244:'CT (CTR)'!$M$267),0)</f>
        <v>1.7572673310922378</v>
      </c>
      <c r="AN13" s="626">
        <f>IF(AVERAGE('CT (CTR)'!$N$244:'CT (CTR)'!$N$267)&lt;&gt;0,'CT (CTR)'!$N$261/AVERAGE('CT (CTR)'!$N$244:'CT (CTR)'!$N$267),0)</f>
        <v>1.1495040103440612</v>
      </c>
      <c r="AO13" s="626">
        <f>IF(AVERAGE('CT (CTR)'!$O$244:'CT (CTR)'!$O$267)&lt;&gt;0,'CT (CTR)'!$O$261/AVERAGE('CT (CTR)'!$O$244:'CT (CTR)'!$O$267),0)</f>
        <v>1.0040556702042138</v>
      </c>
    </row>
    <row r="14" spans="1:41" x14ac:dyDescent="0.25">
      <c r="A14" s="625">
        <v>13</v>
      </c>
      <c r="B14" s="626">
        <f>IF(AVERAGE('CT (CTR)'!$G$6:'CT (CTR)'!$G$29)&lt;&gt;0,'CT (CTR)'!$G$24/AVERAGE('CT (CTR)'!$G$6:'CT (CTR)'!$G$29),0)</f>
        <v>0</v>
      </c>
      <c r="C14" s="626">
        <f>IF(AVERAGE('CT (CTR)'!$G$40:'CT (CTR)'!$G$63)&lt;&gt;0,'CT (CTR)'!$G$58/AVERAGE('CT (CTR)'!$G$40:'CT (CTR)'!$G$63),0)</f>
        <v>0.84791403607721272</v>
      </c>
      <c r="D14" s="626">
        <f>IF(AVERAGE('CT (CTR)'!$H$40:'CT (CTR)'!$H$63)&lt;&gt;0,'CT (CTR)'!$H$58/AVERAGE('CT (CTR)'!$H$40:'CT (CTR)'!$H$63),0)</f>
        <v>0.88778754343138144</v>
      </c>
      <c r="E14" s="626">
        <f>IF(AVERAGE('CT (CTR)'!$I$40:'CT (CTR)'!$I$63)&lt;&gt;0,'CT (CTR)'!$I$58/AVERAGE('CT (CTR)'!$I$40:'CT (CTR)'!$I$63),0)</f>
        <v>3.5254324151185288</v>
      </c>
      <c r="F14" s="626">
        <f>IF(AVERAGE('CT (CTR)'!$J$40:'CT (CTR)'!$J$63)&lt;&gt;0,'CT (CTR)'!$J$58/AVERAGE('CT (CTR)'!$J$40:'CT (CTR)'!$J$63),0)</f>
        <v>1.2415848497492281</v>
      </c>
      <c r="G14" s="626">
        <f>IF(AVERAGE('CT (CTR)'!$K$40:'CT (CTR)'!$K$63)&lt;&gt;0,'CT (CTR)'!$K$58/AVERAGE('CT (CTR)'!$K$40:'CT (CTR)'!$K$63),0)</f>
        <v>0.68334989354151821</v>
      </c>
      <c r="H14" s="626">
        <f>IF(AVERAGE('CT (CTR)'!$L$40:'CT (CTR)'!$L$63)&lt;&gt;0,'CT (CTR)'!$L$58/AVERAGE('CT (CTR)'!$L$40:'CT (CTR)'!$L$63),0)</f>
        <v>1.2311903035094012</v>
      </c>
      <c r="I14" s="626">
        <f>IF(AVERAGE('CT (CTR)'!$M$40:'CT (CTR)'!$M$63)&lt;&gt;0,'CT (CTR)'!$M$58/AVERAGE('CT (CTR)'!$M$40:'CT (CTR)'!$M$63),0)</f>
        <v>1.0244051084492569</v>
      </c>
      <c r="J14" s="626">
        <f>IF(AVERAGE('CT (CTR)'!$N$40:'CT (CTR)'!$N$63)&lt;&gt;0,'CT (CTR)'!$N$58/AVERAGE('CT (CTR)'!$N$40:'CT (CTR)'!$N$63),0)</f>
        <v>0.70681748700703018</v>
      </c>
      <c r="K14" s="626">
        <f>IF(AVERAGE('CT (CTR)'!$O$40:'CT (CTR)'!$O$63)&lt;&gt;0,'CT (CTR)'!$O$58/AVERAGE('CT (CTR)'!$O$40:'CT (CTR)'!$O$63),0)</f>
        <v>6.4466356620138899E-3</v>
      </c>
      <c r="L14" s="626">
        <f>IF(AVERAGE('CT (CTR)'!$P$40:'CT (CTR)'!$P$63)&lt;&gt;0,'CT (CTR)'!$P$58/AVERAGE('CT (CTR)'!$P$40:'CT (CTR)'!$P$63),0)</f>
        <v>0.42010293952455086</v>
      </c>
      <c r="M14" s="626">
        <f>IF(AVERAGE('CT (CTR)'!$Q$40:'CT (CTR)'!$Q$63)&lt;&gt;0,'CT (CTR)'!$Q$58/AVERAGE('CT (CTR)'!$Q$40:'CT (CTR)'!$Q$63),0)</f>
        <v>0.75761589403973495</v>
      </c>
      <c r="N14" s="626">
        <f>IF(AVERAGE('CT (CTR)'!$R$40:'CT (CTR)'!$R$63)&lt;&gt;0,'CT (CTR)'!$R$58/AVERAGE('CT (CTR)'!$R$40:'CT (CTR)'!$R$63),0)</f>
        <v>0.60649651070116462</v>
      </c>
      <c r="O14" s="626">
        <f>IF(AVERAGE('CT (CTR)'!$S$40:'CT (CTR)'!$S$63)&lt;&gt;0,'CT (CTR)'!$S$58/AVERAGE('CT (CTR)'!$S$40:'CT (CTR)'!$S$63),0)</f>
        <v>2.2756203916594</v>
      </c>
      <c r="P14" s="626">
        <f>IF(AVERAGE('CT (CTR)'!$T$40:'CT (CTR)'!$T$63)&lt;&gt;0,'CT (CTR)'!$T$58/AVERAGE('CT (CTR)'!$T$40:'CT (CTR)'!$T$63),0)</f>
        <v>0.86777464663722859</v>
      </c>
      <c r="Q14" s="626">
        <f>IF(AVERAGE('CT (CTR)'!$G$142:'CT (CTR)'!$G$165)&lt;&gt;0,'CT (CTR)'!$G$160/AVERAGE('CT (CTR)'!$G$142:'CT (CTR)'!$G$165),0)</f>
        <v>1.0119342884654636</v>
      </c>
      <c r="R14" s="626">
        <f>IF(AVERAGE('CT (CTR)'!$H$142:'CT (CTR)'!$H$165)&lt;&gt;0,'CT (CTR)'!$H$160/AVERAGE('CT (CTR)'!$H$142:'CT (CTR)'!$H$165),0)</f>
        <v>0.76172156619926945</v>
      </c>
      <c r="S14" s="626">
        <f>IF(AVERAGE('CT (CTR)'!$I$142:'CT (CTR)'!$I$165)&lt;&gt;0,'CT (CTR)'!$I$160/AVERAGE('CT (CTR)'!$I$142:'CT (CTR)'!$I$165),0)</f>
        <v>1.0985322919940992</v>
      </c>
      <c r="T14" s="626">
        <f>IF(AVERAGE('CT (CTR)'!$G$176:'CT (CTR)'!$G$199)&lt;&gt;0,'CT (CTR)'!$G$194/AVERAGE('CT (CTR)'!$G$176:'CT (CTR)'!$G$199),0)</f>
        <v>0.77824124541662643</v>
      </c>
      <c r="U14" s="626">
        <f>IF(AVERAGE('CT (CTR)'!$H$176:'CT (CTR)'!$H$199)&lt;&gt;0,'CT (CTR)'!$H$194/AVERAGE('CT (CTR)'!$H$176:'CT (CTR)'!$H$199),0)</f>
        <v>0.72468247213109338</v>
      </c>
      <c r="V14" s="626">
        <f>IF(AVERAGE('CT (CTR)'!$I$176:'CT (CTR)'!$I$199)&lt;&gt;0,'CT (CTR)'!$I$194/AVERAGE('CT (CTR)'!$I$176:'CT (CTR)'!$I$199),0)</f>
        <v>1.6729408063755011</v>
      </c>
      <c r="W14" s="626">
        <f>IF(AVERAGE('CT (CTR)'!$J$176:'CT (CTR)'!$J$199)&lt;&gt;0,'CT (CTR)'!$J$194/AVERAGE('CT (CTR)'!$J$176:'CT (CTR)'!$J$199),0)</f>
        <v>0.74491488747836132</v>
      </c>
      <c r="X14" s="626">
        <f>IF(AVERAGE('CT (CTR)'!$K$176:'CT (CTR)'!$K$199)&lt;&gt;0,'CT (CTR)'!$K$194/AVERAGE('CT (CTR)'!$K$176:'CT (CTR)'!$K$199),0)</f>
        <v>2.0514933874882368</v>
      </c>
      <c r="Y14" s="626">
        <f>IF(AVERAGE('CT (CTR)'!$L$176:'CT (CTR)'!$L$199)&lt;&gt;0,'CT (CTR)'!$L$194/AVERAGE('CT (CTR)'!$L$176:'CT (CTR)'!$L$199),0)</f>
        <v>1.582311280013819</v>
      </c>
      <c r="Z14" s="626">
        <f>IF(AVERAGE('CT (CTR)'!$M$176:'CT (CTR)'!$M$199)&lt;&gt;0,'CT (CTR)'!$M$194/AVERAGE('CT (CTR)'!$M$176:'CT (CTR)'!$M$199),0)</f>
        <v>0.83654748906398879</v>
      </c>
      <c r="AA14" s="626">
        <f>IF(AVERAGE('CT (CTR)'!$N$176:'CT (CTR)'!$N$199)&lt;&gt;0,'CT (CTR)'!$N$194/AVERAGE('CT (CTR)'!$N$176:'CT (CTR)'!$N$199),0)</f>
        <v>0.77476217123670987</v>
      </c>
      <c r="AB14" s="626">
        <f>IF(AVERAGE('CT (CTR)'!$O$176:'CT (CTR)'!$O$199)&lt;&gt;0,'CT (CTR)'!$O$194/AVERAGE('CT (CTR)'!$O$176:'CT (CTR)'!$O$199),0)</f>
        <v>0.80669856459330103</v>
      </c>
      <c r="AC14" s="626">
        <f>IF(AVERAGE('CT (CTR)'!$P$176:'CT (CTR)'!$P$199)&lt;&gt;0,'CT (CTR)'!$P$194/AVERAGE('CT (CTR)'!$P$176:'CT (CTR)'!$P$199),0)</f>
        <v>2.1786498260781455</v>
      </c>
      <c r="AD14" s="626">
        <f>IF(AVERAGE('CT (CTR)'!$Q$176:'CT (CTR)'!$Q$199)&lt;&gt;0,'CT (CTR)'!$Q$194/AVERAGE('CT (CTR)'!$Q$176:'CT (CTR)'!$Q$199),0)</f>
        <v>0.4308052172586509</v>
      </c>
      <c r="AE14" s="626">
        <f>IF(AVERAGE('CT (CTR)'!$R$176:'CT (CTR)'!$R$199)&lt;&gt;0,'CT (CTR)'!$R$194/AVERAGE('CT (CTR)'!$R$176:'CT (CTR)'!$R$199),0)</f>
        <v>0.87385263858461959</v>
      </c>
      <c r="AF14" s="626">
        <f>IF(AVERAGE('CT (CTR)'!$S$176:'CT (CTR)'!$S$199)&lt;&gt;0,'CT (CTR)'!$S$194/AVERAGE('CT (CTR)'!$S$176:'CT (CTR)'!$S$199),0)</f>
        <v>1.0700254052313347</v>
      </c>
      <c r="AG14" s="626">
        <f>IF(AVERAGE('CT (CTR)'!$G$244:'CT (CTR)'!$G$267)&lt;&gt;0,'CT (CTR)'!$G$262/AVERAGE('CT (CTR)'!$G$244:'CT (CTR)'!$G$267),0)</f>
        <v>1.2228648183746409</v>
      </c>
      <c r="AH14" s="626">
        <f>IF(AVERAGE('CT (CTR)'!$H$244:'CT (CTR)'!$H$267)&lt;&gt;0,'CT (CTR)'!$H$262/AVERAGE('CT (CTR)'!$H$244:'CT (CTR)'!$H$267),0)</f>
        <v>1.1100931141240715</v>
      </c>
      <c r="AI14" s="626">
        <f>IF(AVERAGE('CT (CTR)'!$I$244:'CT (CTR)'!$I$267)&lt;&gt;0,'CT (CTR)'!$I$262/AVERAGE('CT (CTR)'!$I$244:'CT (CTR)'!$I$267),0)</f>
        <v>0.94636439054365551</v>
      </c>
      <c r="AJ14" s="626">
        <f>IF(AVERAGE('CT (CTR)'!$J$244:'CT (CTR)'!$J$267)&lt;&gt;0,'CT (CTR)'!$J$262/AVERAGE('CT (CTR)'!$J$244:'CT (CTR)'!$J$267),0)</f>
        <v>1.7960048615707005</v>
      </c>
      <c r="AK14" s="626">
        <f>IF(AVERAGE('CT (CTR)'!$K$244:'CT (CTR)'!$K$267)&lt;&gt;0,'CT (CTR)'!$K$262/AVERAGE('CT (CTR)'!$K$244:'CT (CTR)'!$K$267),0)</f>
        <v>1.1948554833356364</v>
      </c>
      <c r="AL14" s="626">
        <f>IF(AVERAGE('CT (CTR)'!$L$244:'CT (CTR)'!$L$267)&lt;&gt;0,'CT (CTR)'!$L$262/AVERAGE('CT (CTR)'!$L$244:'CT (CTR)'!$L$267),0)</f>
        <v>1.0235677088482893</v>
      </c>
      <c r="AM14" s="626">
        <f>IF(AVERAGE('CT (CTR)'!$M$244:'CT (CTR)'!$M$267)&lt;&gt;0,'CT (CTR)'!$M$262/AVERAGE('CT (CTR)'!$M$244:'CT (CTR)'!$M$267),0)</f>
        <v>1.7923740653869276</v>
      </c>
      <c r="AN14" s="626">
        <f>IF(AVERAGE('CT (CTR)'!$N$244:'CT (CTR)'!$N$267)&lt;&gt;0,'CT (CTR)'!$N$262/AVERAGE('CT (CTR)'!$N$244:'CT (CTR)'!$N$267),0)</f>
        <v>0.91430457064737969</v>
      </c>
      <c r="AO14" s="626">
        <f>IF(AVERAGE('CT (CTR)'!$O$244:'CT (CTR)'!$O$267)&lt;&gt;0,'CT (CTR)'!$O$262/AVERAGE('CT (CTR)'!$O$244:'CT (CTR)'!$O$267),0)</f>
        <v>0.84234195147532021</v>
      </c>
    </row>
    <row r="15" spans="1:41" x14ac:dyDescent="0.25">
      <c r="A15" s="625">
        <v>14</v>
      </c>
      <c r="B15" s="626">
        <f>IF(AVERAGE('CT (CTR)'!$G$6:'CT (CTR)'!$G$29)&lt;&gt;0,'CT (CTR)'!$G$25/AVERAGE('CT (CTR)'!$G$6:'CT (CTR)'!$G$29),0)</f>
        <v>0</v>
      </c>
      <c r="C15" s="626">
        <f>IF(AVERAGE('CT (CTR)'!$G$40:'CT (CTR)'!$G$63)&lt;&gt;0,'CT (CTR)'!$G$59/AVERAGE('CT (CTR)'!$G$40:'CT (CTR)'!$G$63),0)</f>
        <v>1.5236816477719628</v>
      </c>
      <c r="D15" s="626">
        <f>IF(AVERAGE('CT (CTR)'!$H$40:'CT (CTR)'!$H$63)&lt;&gt;0,'CT (CTR)'!$H$59/AVERAGE('CT (CTR)'!$H$40:'CT (CTR)'!$H$63),0)</f>
        <v>0.92354705879251464</v>
      </c>
      <c r="E15" s="626">
        <f>IF(AVERAGE('CT (CTR)'!$I$40:'CT (CTR)'!$I$63)&lt;&gt;0,'CT (CTR)'!$I$59/AVERAGE('CT (CTR)'!$I$40:'CT (CTR)'!$I$63),0)</f>
        <v>3.0129317365009385</v>
      </c>
      <c r="F15" s="626">
        <f>IF(AVERAGE('CT (CTR)'!$J$40:'CT (CTR)'!$J$63)&lt;&gt;0,'CT (CTR)'!$J$59/AVERAGE('CT (CTR)'!$J$40:'CT (CTR)'!$J$63),0)</f>
        <v>1.6494290555787365</v>
      </c>
      <c r="G15" s="626">
        <f>IF(AVERAGE('CT (CTR)'!$K$40:'CT (CTR)'!$K$63)&lt;&gt;0,'CT (CTR)'!$K$59/AVERAGE('CT (CTR)'!$K$40:'CT (CTR)'!$K$63),0)</f>
        <v>0.65209368346344798</v>
      </c>
      <c r="H15" s="626">
        <f>IF(AVERAGE('CT (CTR)'!$L$40:'CT (CTR)'!$L$63)&lt;&gt;0,'CT (CTR)'!$L$59/AVERAGE('CT (CTR)'!$L$40:'CT (CTR)'!$L$63),0)</f>
        <v>1.3243070406201822</v>
      </c>
      <c r="I15" s="626">
        <f>IF(AVERAGE('CT (CTR)'!$M$40:'CT (CTR)'!$M$63)&lt;&gt;0,'CT (CTR)'!$M$59/AVERAGE('CT (CTR)'!$M$40:'CT (CTR)'!$M$63),0)</f>
        <v>1.0343940839103649</v>
      </c>
      <c r="J15" s="626">
        <f>IF(AVERAGE('CT (CTR)'!$N$40:'CT (CTR)'!$N$63)&lt;&gt;0,'CT (CTR)'!$N$59/AVERAGE('CT (CTR)'!$N$40:'CT (CTR)'!$N$63),0)</f>
        <v>0.67936213646808141</v>
      </c>
      <c r="K15" s="626">
        <f>IF(AVERAGE('CT (CTR)'!$O$40:'CT (CTR)'!$O$63)&lt;&gt;0,'CT (CTR)'!$O$59/AVERAGE('CT (CTR)'!$O$40:'CT (CTR)'!$O$63),0)</f>
        <v>6.0718312630595938E-3</v>
      </c>
      <c r="L15" s="626">
        <f>IF(AVERAGE('CT (CTR)'!$P$40:'CT (CTR)'!$P$63)&lt;&gt;0,'CT (CTR)'!$P$59/AVERAGE('CT (CTR)'!$P$40:'CT (CTR)'!$P$63),0)</f>
        <v>1.8321746699835122</v>
      </c>
      <c r="M15" s="626">
        <f>IF(AVERAGE('CT (CTR)'!$Q$40:'CT (CTR)'!$Q$63)&lt;&gt;0,'CT (CTR)'!$Q$59/AVERAGE('CT (CTR)'!$Q$40:'CT (CTR)'!$Q$63),0)</f>
        <v>1.7175751400916859</v>
      </c>
      <c r="N15" s="626">
        <f>IF(AVERAGE('CT (CTR)'!$R$40:'CT (CTR)'!$R$63)&lt;&gt;0,'CT (CTR)'!$R$59/AVERAGE('CT (CTR)'!$R$40:'CT (CTR)'!$R$63),0)</f>
        <v>1.0914604513733654</v>
      </c>
      <c r="O15" s="626">
        <f>IF(AVERAGE('CT (CTR)'!$S$40:'CT (CTR)'!$S$63)&lt;&gt;0,'CT (CTR)'!$S$59/AVERAGE('CT (CTR)'!$S$40:'CT (CTR)'!$S$63),0)</f>
        <v>0.99896931737096584</v>
      </c>
      <c r="P15" s="626">
        <f>IF(AVERAGE('CT (CTR)'!$T$40:'CT (CTR)'!$T$63)&lt;&gt;0,'CT (CTR)'!$T$59/AVERAGE('CT (CTR)'!$T$40:'CT (CTR)'!$T$63),0)</f>
        <v>0.97028868129673596</v>
      </c>
      <c r="Q15" s="626">
        <f>IF(AVERAGE('CT (CTR)'!$G$142:'CT (CTR)'!$G$165)&lt;&gt;0,'CT (CTR)'!$G$161/AVERAGE('CT (CTR)'!$G$142:'CT (CTR)'!$G$165),0)</f>
        <v>1.0833649441218502</v>
      </c>
      <c r="R15" s="626">
        <f>IF(AVERAGE('CT (CTR)'!$H$142:'CT (CTR)'!$H$165)&lt;&gt;0,'CT (CTR)'!$H$161/AVERAGE('CT (CTR)'!$H$142:'CT (CTR)'!$H$165),0)</f>
        <v>3.3960086493050645</v>
      </c>
      <c r="S15" s="626">
        <f>IF(AVERAGE('CT (CTR)'!$I$142:'CT (CTR)'!$I$165)&lt;&gt;0,'CT (CTR)'!$I$161/AVERAGE('CT (CTR)'!$I$142:'CT (CTR)'!$I$165),0)</f>
        <v>0.88497715018013601</v>
      </c>
      <c r="T15" s="626">
        <f>IF(AVERAGE('CT (CTR)'!$G$176:'CT (CTR)'!$G$199)&lt;&gt;0,'CT (CTR)'!$G$195/AVERAGE('CT (CTR)'!$G$176:'CT (CTR)'!$G$199),0)</f>
        <v>0.78652960837484931</v>
      </c>
      <c r="U15" s="626">
        <f>IF(AVERAGE('CT (CTR)'!$H$176:'CT (CTR)'!$H$199)&lt;&gt;0,'CT (CTR)'!$H$195/AVERAGE('CT (CTR)'!$H$176:'CT (CTR)'!$H$199),0)</f>
        <v>1.1582226702916236</v>
      </c>
      <c r="V15" s="626">
        <f>IF(AVERAGE('CT (CTR)'!$I$176:'CT (CTR)'!$I$199)&lt;&gt;0,'CT (CTR)'!$I$195/AVERAGE('CT (CTR)'!$I$176:'CT (CTR)'!$I$199),0)</f>
        <v>0.87631730718817036</v>
      </c>
      <c r="W15" s="626">
        <f>IF(AVERAGE('CT (CTR)'!$J$176:'CT (CTR)'!$J$199)&lt;&gt;0,'CT (CTR)'!$J$195/AVERAGE('CT (CTR)'!$J$176:'CT (CTR)'!$J$199),0)</f>
        <v>0.57948643969994207</v>
      </c>
      <c r="X15" s="626">
        <f>IF(AVERAGE('CT (CTR)'!$K$176:'CT (CTR)'!$K$199)&lt;&gt;0,'CT (CTR)'!$K$195/AVERAGE('CT (CTR)'!$K$176:'CT (CTR)'!$K$199),0)</f>
        <v>0.90037148942493817</v>
      </c>
      <c r="Y15" s="626">
        <f>IF(AVERAGE('CT (CTR)'!$L$176:'CT (CTR)'!$L$199)&lt;&gt;0,'CT (CTR)'!$L$195/AVERAGE('CT (CTR)'!$L$176:'CT (CTR)'!$L$199),0)</f>
        <v>1.5049231300742791</v>
      </c>
      <c r="Z15" s="626">
        <f>IF(AVERAGE('CT (CTR)'!$M$176:'CT (CTR)'!$M$199)&lt;&gt;0,'CT (CTR)'!$M$195/AVERAGE('CT (CTR)'!$M$176:'CT (CTR)'!$M$199),0)</f>
        <v>0.74892030794695053</v>
      </c>
      <c r="AA15" s="626">
        <f>IF(AVERAGE('CT (CTR)'!$N$176:'CT (CTR)'!$N$199)&lt;&gt;0,'CT (CTR)'!$N$195/AVERAGE('CT (CTR)'!$N$176:'CT (CTR)'!$N$199),0)</f>
        <v>0.74412423055400012</v>
      </c>
      <c r="AB15" s="626">
        <f>IF(AVERAGE('CT (CTR)'!$O$176:'CT (CTR)'!$O$199)&lt;&gt;0,'CT (CTR)'!$O$195/AVERAGE('CT (CTR)'!$O$176:'CT (CTR)'!$O$199),0)</f>
        <v>0.7587149692412869</v>
      </c>
      <c r="AC15" s="626">
        <f>IF(AVERAGE('CT (CTR)'!$P$176:'CT (CTR)'!$P$199)&lt;&gt;0,'CT (CTR)'!$P$195/AVERAGE('CT (CTR)'!$P$176:'CT (CTR)'!$P$199),0)</f>
        <v>2.216338522846236</v>
      </c>
      <c r="AD15" s="626">
        <f>IF(AVERAGE('CT (CTR)'!$Q$176:'CT (CTR)'!$Q$199)&lt;&gt;0,'CT (CTR)'!$Q$195/AVERAGE('CT (CTR)'!$Q$176:'CT (CTR)'!$Q$199),0)</f>
        <v>0.44178891968167594</v>
      </c>
      <c r="AE15" s="626">
        <f>IF(AVERAGE('CT (CTR)'!$R$176:'CT (CTR)'!$R$199)&lt;&gt;0,'CT (CTR)'!$R$195/AVERAGE('CT (CTR)'!$R$176:'CT (CTR)'!$R$199),0)</f>
        <v>0.84057569118993181</v>
      </c>
      <c r="AF15" s="626">
        <f>IF(AVERAGE('CT (CTR)'!$S$176:'CT (CTR)'!$S$199)&lt;&gt;0,'CT (CTR)'!$S$195/AVERAGE('CT (CTR)'!$S$176:'CT (CTR)'!$S$199),0)</f>
        <v>1.0760367839124108</v>
      </c>
      <c r="AG15" s="626">
        <f>IF(AVERAGE('CT (CTR)'!$G$244:'CT (CTR)'!$G$267)&lt;&gt;0,'CT (CTR)'!$G$263/AVERAGE('CT (CTR)'!$G$244:'CT (CTR)'!$G$267),0)</f>
        <v>1.2861855533511306</v>
      </c>
      <c r="AH15" s="626">
        <f>IF(AVERAGE('CT (CTR)'!$H$244:'CT (CTR)'!$H$267)&lt;&gt;0,'CT (CTR)'!$H$263/AVERAGE('CT (CTR)'!$H$244:'CT (CTR)'!$H$267),0)</f>
        <v>1.3185217735377373</v>
      </c>
      <c r="AI15" s="626">
        <f>IF(AVERAGE('CT (CTR)'!$I$244:'CT (CTR)'!$I$267)&lt;&gt;0,'CT (CTR)'!$I$263/AVERAGE('CT (CTR)'!$I$244:'CT (CTR)'!$I$267),0)</f>
        <v>1.8013771764522966</v>
      </c>
      <c r="AJ15" s="626">
        <f>IF(AVERAGE('CT (CTR)'!$J$244:'CT (CTR)'!$J$267)&lt;&gt;0,'CT (CTR)'!$J$263/AVERAGE('CT (CTR)'!$J$244:'CT (CTR)'!$J$267),0)</f>
        <v>1.714835750521813</v>
      </c>
      <c r="AK15" s="626">
        <f>IF(AVERAGE('CT (CTR)'!$K$244:'CT (CTR)'!$K$267)&lt;&gt;0,'CT (CTR)'!$K$263/AVERAGE('CT (CTR)'!$K$244:'CT (CTR)'!$K$267),0)</f>
        <v>1.2745125155580121</v>
      </c>
      <c r="AL15" s="626">
        <f>IF(AVERAGE('CT (CTR)'!$L$244:'CT (CTR)'!$L$267)&lt;&gt;0,'CT (CTR)'!$L$263/AVERAGE('CT (CTR)'!$L$244:'CT (CTR)'!$L$267),0)</f>
        <v>1.0695654715437262</v>
      </c>
      <c r="AM15" s="626">
        <f>IF(AVERAGE('CT (CTR)'!$M$244:'CT (CTR)'!$M$267)&lt;&gt;0,'CT (CTR)'!$M$263/AVERAGE('CT (CTR)'!$M$244:'CT (CTR)'!$M$267),0)</f>
        <v>1.7521359560361389</v>
      </c>
      <c r="AN15" s="626">
        <f>IF(AVERAGE('CT (CTR)'!$N$244:'CT (CTR)'!$N$267)&lt;&gt;0,'CT (CTR)'!$N$263/AVERAGE('CT (CTR)'!$N$244:'CT (CTR)'!$N$267),0)</f>
        <v>1.1701214215002926</v>
      </c>
      <c r="AO15" s="626">
        <f>IF(AVERAGE('CT (CTR)'!$O$244:'CT (CTR)'!$O$267)&lt;&gt;0,'CT (CTR)'!$O$263/AVERAGE('CT (CTR)'!$O$244:'CT (CTR)'!$O$267),0)</f>
        <v>0.94674056160657272</v>
      </c>
    </row>
    <row r="16" spans="1:41" x14ac:dyDescent="0.25">
      <c r="A16" s="625">
        <v>15</v>
      </c>
      <c r="B16" s="626">
        <f>IF(AVERAGE('CT (CTR)'!$G$6:'CT (CTR)'!$G$29)&lt;&gt;0,'CT (CTR)'!$G$26/AVERAGE('CT (CTR)'!$G$6:'CT (CTR)'!$G$29),0)</f>
        <v>0</v>
      </c>
      <c r="C16" s="626">
        <f>IF(AVERAGE('CT (CTR)'!$G$40:'CT (CTR)'!$G$63)&lt;&gt;0,'CT (CTR)'!$G$60/AVERAGE('CT (CTR)'!$G$40:'CT (CTR)'!$G$63),0)</f>
        <v>2.2673492050171609</v>
      </c>
      <c r="D16" s="626">
        <f>IF(AVERAGE('CT (CTR)'!$H$40:'CT (CTR)'!$H$63)&lt;&gt;0,'CT (CTR)'!$H$60/AVERAGE('CT (CTR)'!$H$40:'CT (CTR)'!$H$63),0)</f>
        <v>1.4441985163470712</v>
      </c>
      <c r="E16" s="626">
        <f>IF(AVERAGE('CT (CTR)'!$I$40:'CT (CTR)'!$I$63)&lt;&gt;0,'CT (CTR)'!$I$60/AVERAGE('CT (CTR)'!$I$40:'CT (CTR)'!$I$63),0)</f>
        <v>2.2444022193509139</v>
      </c>
      <c r="F16" s="626">
        <f>IF(AVERAGE('CT (CTR)'!$J$40:'CT (CTR)'!$J$63)&lt;&gt;0,'CT (CTR)'!$J$60/AVERAGE('CT (CTR)'!$J$40:'CT (CTR)'!$J$63),0)</f>
        <v>1.7029726576802868</v>
      </c>
      <c r="G16" s="626">
        <f>IF(AVERAGE('CT (CTR)'!$K$40:'CT (CTR)'!$K$63)&lt;&gt;0,'CT (CTR)'!$K$60/AVERAGE('CT (CTR)'!$K$40:'CT (CTR)'!$K$63),0)</f>
        <v>0.65638041163946048</v>
      </c>
      <c r="H16" s="626">
        <f>IF(AVERAGE('CT (CTR)'!$L$40:'CT (CTR)'!$L$63)&lt;&gt;0,'CT (CTR)'!$L$60/AVERAGE('CT (CTR)'!$L$40:'CT (CTR)'!$L$63),0)</f>
        <v>1.4112040629503773</v>
      </c>
      <c r="I16" s="626">
        <f>IF(AVERAGE('CT (CTR)'!$M$40:'CT (CTR)'!$M$63)&lt;&gt;0,'CT (CTR)'!$M$60/AVERAGE('CT (CTR)'!$M$40:'CT (CTR)'!$M$63),0)</f>
        <v>1.0849335430886051</v>
      </c>
      <c r="J16" s="626">
        <f>IF(AVERAGE('CT (CTR)'!$N$40:'CT (CTR)'!$N$63)&lt;&gt;0,'CT (CTR)'!$N$60/AVERAGE('CT (CTR)'!$N$40:'CT (CTR)'!$N$63),0)</f>
        <v>0.8839360558574364</v>
      </c>
      <c r="K16" s="626">
        <f>IF(AVERAGE('CT (CTR)'!$O$40:'CT (CTR)'!$O$63)&lt;&gt;0,'CT (CTR)'!$O$60/AVERAGE('CT (CTR)'!$O$40:'CT (CTR)'!$O$63),0)</f>
        <v>3.598122229961232E-3</v>
      </c>
      <c r="L16" s="626">
        <f>IF(AVERAGE('CT (CTR)'!$P$40:'CT (CTR)'!$P$63)&lt;&gt;0,'CT (CTR)'!$P$60/AVERAGE('CT (CTR)'!$P$40:'CT (CTR)'!$P$63),0)</f>
        <v>2.9208077360041034</v>
      </c>
      <c r="M16" s="626">
        <f>IF(AVERAGE('CT (CTR)'!$Q$40:'CT (CTR)'!$Q$63)&lt;&gt;0,'CT (CTR)'!$Q$60/AVERAGE('CT (CTR)'!$Q$40:'CT (CTR)'!$Q$63),0)</f>
        <v>2.7162506367804404</v>
      </c>
      <c r="N16" s="626">
        <f>IF(AVERAGE('CT (CTR)'!$R$40:'CT (CTR)'!$R$63)&lt;&gt;0,'CT (CTR)'!$R$60/AVERAGE('CT (CTR)'!$R$40:'CT (CTR)'!$R$63),0)</f>
        <v>1.6256439165678471</v>
      </c>
      <c r="O16" s="626">
        <f>IF(AVERAGE('CT (CTR)'!$S$40:'CT (CTR)'!$S$63)&lt;&gt;0,'CT (CTR)'!$S$60/AVERAGE('CT (CTR)'!$S$40:'CT (CTR)'!$S$63),0)</f>
        <v>0.38144771267739708</v>
      </c>
      <c r="P16" s="626">
        <f>IF(AVERAGE('CT (CTR)'!$T$40:'CT (CTR)'!$T$63)&lt;&gt;0,'CT (CTR)'!$T$60/AVERAGE('CT (CTR)'!$T$40:'CT (CTR)'!$T$63),0)</f>
        <v>1.1367075687309993</v>
      </c>
      <c r="Q16" s="626">
        <f>IF(AVERAGE('CT (CTR)'!$G$142:'CT (CTR)'!$G$165)&lt;&gt;0,'CT (CTR)'!$G$162/AVERAGE('CT (CTR)'!$G$142:'CT (CTR)'!$G$165),0)</f>
        <v>0.90408800443523951</v>
      </c>
      <c r="R16" s="626">
        <f>IF(AVERAGE('CT (CTR)'!$H$142:'CT (CTR)'!$H$165)&lt;&gt;0,'CT (CTR)'!$H$162/AVERAGE('CT (CTR)'!$H$142:'CT (CTR)'!$H$165),0)</f>
        <v>3.4219764299709587</v>
      </c>
      <c r="S16" s="626">
        <f>IF(AVERAGE('CT (CTR)'!$I$142:'CT (CTR)'!$I$165)&lt;&gt;0,'CT (CTR)'!$I$162/AVERAGE('CT (CTR)'!$I$142:'CT (CTR)'!$I$165),0)</f>
        <v>0.79038614986580102</v>
      </c>
      <c r="T16" s="626">
        <f>IF(AVERAGE('CT (CTR)'!$G$176:'CT (CTR)'!$G$199)&lt;&gt;0,'CT (CTR)'!$G$196/AVERAGE('CT (CTR)'!$G$176:'CT (CTR)'!$G$199),0)</f>
        <v>0.84310669465490462</v>
      </c>
      <c r="U16" s="626">
        <f>IF(AVERAGE('CT (CTR)'!$H$176:'CT (CTR)'!$H$199)&lt;&gt;0,'CT (CTR)'!$H$196/AVERAGE('CT (CTR)'!$H$176:'CT (CTR)'!$H$199),0)</f>
        <v>2.333898010957498</v>
      </c>
      <c r="V16" s="626">
        <f>IF(AVERAGE('CT (CTR)'!$I$176:'CT (CTR)'!$I$199)&lt;&gt;0,'CT (CTR)'!$I$196/AVERAGE('CT (CTR)'!$I$176:'CT (CTR)'!$I$199),0)</f>
        <v>1.1245215750013109</v>
      </c>
      <c r="W16" s="626">
        <f>IF(AVERAGE('CT (CTR)'!$J$176:'CT (CTR)'!$J$199)&lt;&gt;0,'CT (CTR)'!$J$196/AVERAGE('CT (CTR)'!$J$176:'CT (CTR)'!$J$199),0)</f>
        <v>0.48849538372763956</v>
      </c>
      <c r="X16" s="626">
        <f>IF(AVERAGE('CT (CTR)'!$K$176:'CT (CTR)'!$K$199)&lt;&gt;0,'CT (CTR)'!$K$196/AVERAGE('CT (CTR)'!$K$176:'CT (CTR)'!$K$199),0)</f>
        <v>0.77729456634801031</v>
      </c>
      <c r="Y16" s="626">
        <f>IF(AVERAGE('CT (CTR)'!$L$176:'CT (CTR)'!$L$199)&lt;&gt;0,'CT (CTR)'!$L$196/AVERAGE('CT (CTR)'!$L$176:'CT (CTR)'!$L$199),0)</f>
        <v>1.2278459146657463</v>
      </c>
      <c r="Z16" s="626">
        <f>IF(AVERAGE('CT (CTR)'!$M$176:'CT (CTR)'!$M$199)&lt;&gt;0,'CT (CTR)'!$M$196/AVERAGE('CT (CTR)'!$M$176:'CT (CTR)'!$M$199),0)</f>
        <v>0.69233818528280577</v>
      </c>
      <c r="AA16" s="626">
        <f>IF(AVERAGE('CT (CTR)'!$N$176:'CT (CTR)'!$N$199)&lt;&gt;0,'CT (CTR)'!$N$196/AVERAGE('CT (CTR)'!$N$176:'CT (CTR)'!$N$199),0)</f>
        <v>0.76007274762171295</v>
      </c>
      <c r="AB16" s="626">
        <f>IF(AVERAGE('CT (CTR)'!$O$176:'CT (CTR)'!$O$199)&lt;&gt;0,'CT (CTR)'!$O$196/AVERAGE('CT (CTR)'!$O$176:'CT (CTR)'!$O$199),0)</f>
        <v>0.62665755297334069</v>
      </c>
      <c r="AC16" s="626">
        <f>IF(AVERAGE('CT (CTR)'!$P$176:'CT (CTR)'!$P$199)&lt;&gt;0,'CT (CTR)'!$P$196/AVERAGE('CT (CTR)'!$P$176:'CT (CTR)'!$P$199),0)</f>
        <v>1.1136402012765536</v>
      </c>
      <c r="AD16" s="626">
        <f>IF(AVERAGE('CT (CTR)'!$Q$176:'CT (CTR)'!$Q$199)&lt;&gt;0,'CT (CTR)'!$Q$196/AVERAGE('CT (CTR)'!$Q$176:'CT (CTR)'!$Q$199),0)</f>
        <v>0.42836439449797858</v>
      </c>
      <c r="AE16" s="626">
        <f>IF(AVERAGE('CT (CTR)'!$R$176:'CT (CTR)'!$R$199)&lt;&gt;0,'CT (CTR)'!$R$196/AVERAGE('CT (CTR)'!$R$176:'CT (CTR)'!$R$199),0)</f>
        <v>2.0984443027092969</v>
      </c>
      <c r="AF16" s="626">
        <f>IF(AVERAGE('CT (CTR)'!$S$176:'CT (CTR)'!$S$199)&lt;&gt;0,'CT (CTR)'!$S$196/AVERAGE('CT (CTR)'!$S$176:'CT (CTR)'!$S$199),0)</f>
        <v>1.0657315633162785</v>
      </c>
      <c r="AG16" s="626">
        <f>IF(AVERAGE('CT (CTR)'!$G$244:'CT (CTR)'!$G$267)&lt;&gt;0,'CT (CTR)'!$G$264/AVERAGE('CT (CTR)'!$G$244:'CT (CTR)'!$G$267),0)</f>
        <v>1.3713933919733721</v>
      </c>
      <c r="AH16" s="626">
        <f>IF(AVERAGE('CT (CTR)'!$H$244:'CT (CTR)'!$H$267)&lt;&gt;0,'CT (CTR)'!$H$264/AVERAGE('CT (CTR)'!$H$244:'CT (CTR)'!$H$267),0)</f>
        <v>1.4117489908208884</v>
      </c>
      <c r="AI16" s="626">
        <f>IF(AVERAGE('CT (CTR)'!$I$244:'CT (CTR)'!$I$267)&lt;&gt;0,'CT (CTR)'!$I$264/AVERAGE('CT (CTR)'!$I$244:'CT (CTR)'!$I$267),0)</f>
        <v>2.1667358826690455</v>
      </c>
      <c r="AJ16" s="626">
        <f>IF(AVERAGE('CT (CTR)'!$J$244:'CT (CTR)'!$J$267)&lt;&gt;0,'CT (CTR)'!$J$264/AVERAGE('CT (CTR)'!$J$244:'CT (CTR)'!$J$267),0)</f>
        <v>1.7496335118130453</v>
      </c>
      <c r="AK16" s="626">
        <f>IF(AVERAGE('CT (CTR)'!$K$244:'CT (CTR)'!$K$267)&lt;&gt;0,'CT (CTR)'!$K$264/AVERAGE('CT (CTR)'!$K$244:'CT (CTR)'!$K$267),0)</f>
        <v>1.2877886875950761</v>
      </c>
      <c r="AL16" s="626">
        <f>IF(AVERAGE('CT (CTR)'!$L$244:'CT (CTR)'!$L$267)&lt;&gt;0,'CT (CTR)'!$L$264/AVERAGE('CT (CTR)'!$L$244:'CT (CTR)'!$L$267),0)</f>
        <v>1.1225662657029249</v>
      </c>
      <c r="AM16" s="626">
        <f>IF(AVERAGE('CT (CTR)'!$M$244:'CT (CTR)'!$M$267)&lt;&gt;0,'CT (CTR)'!$M$264/AVERAGE('CT (CTR)'!$M$244:'CT (CTR)'!$M$267),0)</f>
        <v>1.5146193383405164</v>
      </c>
      <c r="AN16" s="626">
        <f>IF(AVERAGE('CT (CTR)'!$N$244:'CT (CTR)'!$N$267)&lt;&gt;0,'CT (CTR)'!$N$264/AVERAGE('CT (CTR)'!$N$244:'CT (CTR)'!$N$267),0)</f>
        <v>1.6685051619289999</v>
      </c>
      <c r="AO16" s="626">
        <f>IF(AVERAGE('CT (CTR)'!$O$244:'CT (CTR)'!$O$267)&lt;&gt;0,'CT (CTR)'!$O$264/AVERAGE('CT (CTR)'!$O$244:'CT (CTR)'!$O$267),0)</f>
        <v>0.77479523581364251</v>
      </c>
    </row>
    <row r="17" spans="1:41" x14ac:dyDescent="0.25">
      <c r="A17" s="625">
        <v>16</v>
      </c>
      <c r="B17" s="626">
        <f>IF(AVERAGE('CT (CTR)'!$G$6:'CT (CTR)'!$G$29)&lt;&gt;0,'CT (CTR)'!$G$27/AVERAGE('CT (CTR)'!$G$6:'CT (CTR)'!$G$29),0)</f>
        <v>0</v>
      </c>
      <c r="C17" s="626">
        <f>IF(AVERAGE('CT (CTR)'!$G$40:'CT (CTR)'!$G$63)&lt;&gt;0,'CT (CTR)'!$G$61/AVERAGE('CT (CTR)'!$G$40:'CT (CTR)'!$G$63),0)</f>
        <v>2.3303155146067205</v>
      </c>
      <c r="D17" s="626">
        <f>IF(AVERAGE('CT (CTR)'!$H$40:'CT (CTR)'!$H$63)&lt;&gt;0,'CT (CTR)'!$H$61/AVERAGE('CT (CTR)'!$H$40:'CT (CTR)'!$H$63),0)</f>
        <v>1.4518920001898055</v>
      </c>
      <c r="E17" s="626">
        <f>IF(AVERAGE('CT (CTR)'!$I$40:'CT (CTR)'!$I$63)&lt;&gt;0,'CT (CTR)'!$I$61/AVERAGE('CT (CTR)'!$I$40:'CT (CTR)'!$I$63),0)</f>
        <v>1.3491742581352679</v>
      </c>
      <c r="F17" s="626">
        <f>IF(AVERAGE('CT (CTR)'!$J$40:'CT (CTR)'!$J$63)&lt;&gt;0,'CT (CTR)'!$J$61/AVERAGE('CT (CTR)'!$J$40:'CT (CTR)'!$J$63),0)</f>
        <v>1.8678270051176347</v>
      </c>
      <c r="G17" s="626">
        <f>IF(AVERAGE('CT (CTR)'!$K$40:'CT (CTR)'!$K$63)&lt;&gt;0,'CT (CTR)'!$K$61/AVERAGE('CT (CTR)'!$K$40:'CT (CTR)'!$K$63),0)</f>
        <v>0.68837473385379555</v>
      </c>
      <c r="H17" s="626">
        <f>IF(AVERAGE('CT (CTR)'!$L$40:'CT (CTR)'!$L$63)&lt;&gt;0,'CT (CTR)'!$L$61/AVERAGE('CT (CTR)'!$L$40:'CT (CTR)'!$L$63),0)</f>
        <v>1.4312950840761531</v>
      </c>
      <c r="I17" s="626">
        <f>IF(AVERAGE('CT (CTR)'!$M$40:'CT (CTR)'!$M$63)&lt;&gt;0,'CT (CTR)'!$M$61/AVERAGE('CT (CTR)'!$M$40:'CT (CTR)'!$M$63),0)</f>
        <v>1.1758451114221646</v>
      </c>
      <c r="J17" s="626">
        <f>IF(AVERAGE('CT (CTR)'!$N$40:'CT (CTR)'!$N$63)&lt;&gt;0,'CT (CTR)'!$N$61/AVERAGE('CT (CTR)'!$N$40:'CT (CTR)'!$N$63),0)</f>
        <v>1.0213705979230983</v>
      </c>
      <c r="K17" s="626">
        <f>IF(AVERAGE('CT (CTR)'!$O$40:'CT (CTR)'!$O$63)&lt;&gt;0,'CT (CTR)'!$O$61/AVERAGE('CT (CTR)'!$O$40:'CT (CTR)'!$O$63),0)</f>
        <v>8.2456967769944881E-3</v>
      </c>
      <c r="L17" s="626">
        <f>IF(AVERAGE('CT (CTR)'!$P$40:'CT (CTR)'!$P$63)&lt;&gt;0,'CT (CTR)'!$P$61/AVERAGE('CT (CTR)'!$P$40:'CT (CTR)'!$P$63),0)</f>
        <v>2.5654698607872901</v>
      </c>
      <c r="M17" s="626">
        <f>IF(AVERAGE('CT (CTR)'!$Q$40:'CT (CTR)'!$Q$63)&lt;&gt;0,'CT (CTR)'!$Q$61/AVERAGE('CT (CTR)'!$Q$40:'CT (CTR)'!$Q$63),0)</f>
        <v>2.6669383596535994</v>
      </c>
      <c r="N17" s="626">
        <f>IF(AVERAGE('CT (CTR)'!$R$40:'CT (CTR)'!$R$63)&lt;&gt;0,'CT (CTR)'!$R$61/AVERAGE('CT (CTR)'!$R$40:'CT (CTR)'!$R$63),0)</f>
        <v>1.4786851466671851</v>
      </c>
      <c r="O17" s="626">
        <f>IF(AVERAGE('CT (CTR)'!$S$40:'CT (CTR)'!$S$63)&lt;&gt;0,'CT (CTR)'!$S$61/AVERAGE('CT (CTR)'!$S$40:'CT (CTR)'!$S$63),0)</f>
        <v>0.33806390232300021</v>
      </c>
      <c r="P17" s="626">
        <f>IF(AVERAGE('CT (CTR)'!$T$40:'CT (CTR)'!$T$63)&lt;&gt;0,'CT (CTR)'!$T$61/AVERAGE('CT (CTR)'!$T$40:'CT (CTR)'!$T$63),0)</f>
        <v>1.2466771695475627</v>
      </c>
      <c r="Q17" s="626">
        <f>IF(AVERAGE('CT (CTR)'!$G$142:'CT (CTR)'!$G$165)&lt;&gt;0,'CT (CTR)'!$G$163/AVERAGE('CT (CTR)'!$G$142:'CT (CTR)'!$G$165),0)</f>
        <v>1.3886959820256173</v>
      </c>
      <c r="R17" s="626">
        <f>IF(AVERAGE('CT (CTR)'!$H$142:'CT (CTR)'!$H$165)&lt;&gt;0,'CT (CTR)'!$H$163/AVERAGE('CT (CTR)'!$H$142:'CT (CTR)'!$H$165),0)</f>
        <v>0.6347679718327246</v>
      </c>
      <c r="S17" s="626">
        <f>IF(AVERAGE('CT (CTR)'!$I$142:'CT (CTR)'!$I$165)&lt;&gt;0,'CT (CTR)'!$I$163/AVERAGE('CT (CTR)'!$I$142:'CT (CTR)'!$I$165),0)</f>
        <v>0.79851053026089625</v>
      </c>
      <c r="T17" s="626">
        <f>IF(AVERAGE('CT (CTR)'!$G$176:'CT (CTR)'!$G$199)&lt;&gt;0,'CT (CTR)'!$G$197/AVERAGE('CT (CTR)'!$G$176:'CT (CTR)'!$G$199),0)</f>
        <v>0.85074640312075089</v>
      </c>
      <c r="U17" s="626">
        <f>IF(AVERAGE('CT (CTR)'!$H$176:'CT (CTR)'!$H$199)&lt;&gt;0,'CT (CTR)'!$H$197/AVERAGE('CT (CTR)'!$H$176:'CT (CTR)'!$H$199),0)</f>
        <v>3.109351887813705</v>
      </c>
      <c r="V17" s="626">
        <f>IF(AVERAGE('CT (CTR)'!$I$176:'CT (CTR)'!$I$199)&lt;&gt;0,'CT (CTR)'!$I$197/AVERAGE('CT (CTR)'!$I$176:'CT (CTR)'!$I$199),0)</f>
        <v>0.78068473758716539</v>
      </c>
      <c r="W17" s="626">
        <f>IF(AVERAGE('CT (CTR)'!$J$176:'CT (CTR)'!$J$199)&lt;&gt;0,'CT (CTR)'!$J$197/AVERAGE('CT (CTR)'!$J$176:'CT (CTR)'!$J$199),0)</f>
        <v>0.5953909405654938</v>
      </c>
      <c r="X17" s="626">
        <f>IF(AVERAGE('CT (CTR)'!$K$176:'CT (CTR)'!$K$199)&lt;&gt;0,'CT (CTR)'!$K$197/AVERAGE('CT (CTR)'!$K$176:'CT (CTR)'!$K$199),0)</f>
        <v>0.80519094556441462</v>
      </c>
      <c r="Y17" s="626">
        <f>IF(AVERAGE('CT (CTR)'!$L$176:'CT (CTR)'!$L$199)&lt;&gt;0,'CT (CTR)'!$L$197/AVERAGE('CT (CTR)'!$L$176:'CT (CTR)'!$L$199),0)</f>
        <v>0.67472793228536743</v>
      </c>
      <c r="Z17" s="626">
        <f>IF(AVERAGE('CT (CTR)'!$M$176:'CT (CTR)'!$M$199)&lt;&gt;0,'CT (CTR)'!$M$197/AVERAGE('CT (CTR)'!$M$176:'CT (CTR)'!$M$199),0)</f>
        <v>0.84055330305791076</v>
      </c>
      <c r="AA17" s="626">
        <f>IF(AVERAGE('CT (CTR)'!$N$176:'CT (CTR)'!$N$199)&lt;&gt;0,'CT (CTR)'!$N$197/AVERAGE('CT (CTR)'!$N$176:'CT (CTR)'!$N$199),0)</f>
        <v>0.71306659205372258</v>
      </c>
      <c r="AB17" s="626">
        <f>IF(AVERAGE('CT (CTR)'!$O$176:'CT (CTR)'!$O$199)&lt;&gt;0,'CT (CTR)'!$O$197/AVERAGE('CT (CTR)'!$O$176:'CT (CTR)'!$O$199),0)</f>
        <v>0.75543403964456768</v>
      </c>
      <c r="AC17" s="626">
        <f>IF(AVERAGE('CT (CTR)'!$P$176:'CT (CTR)'!$P$199)&lt;&gt;0,'CT (CTR)'!$P$197/AVERAGE('CT (CTR)'!$P$176:'CT (CTR)'!$P$199),0)</f>
        <v>0.84455101144844913</v>
      </c>
      <c r="AD17" s="626">
        <f>IF(AVERAGE('CT (CTR)'!$Q$176:'CT (CTR)'!$Q$199)&lt;&gt;0,'CT (CTR)'!$Q$197/AVERAGE('CT (CTR)'!$Q$176:'CT (CTR)'!$Q$199),0)</f>
        <v>0.5095217512903305</v>
      </c>
      <c r="AE17" s="626">
        <f>IF(AVERAGE('CT (CTR)'!$R$176:'CT (CTR)'!$R$199)&lt;&gt;0,'CT (CTR)'!$R$197/AVERAGE('CT (CTR)'!$R$176:'CT (CTR)'!$R$199),0)</f>
        <v>2.3433626355342314</v>
      </c>
      <c r="AF17" s="626">
        <f>IF(AVERAGE('CT (CTR)'!$S$176:'CT (CTR)'!$S$199)&lt;&gt;0,'CT (CTR)'!$S$197/AVERAGE('CT (CTR)'!$S$176:'CT (CTR)'!$S$199),0)</f>
        <v>1.1567610119154097</v>
      </c>
      <c r="AG17" s="626">
        <f>IF(AVERAGE('CT (CTR)'!$G$244:'CT (CTR)'!$G$267)&lt;&gt;0,'CT (CTR)'!$G$265/AVERAGE('CT (CTR)'!$G$244:'CT (CTR)'!$G$267),0)</f>
        <v>1.3472013486980721</v>
      </c>
      <c r="AH17" s="626">
        <f>IF(AVERAGE('CT (CTR)'!$H$244:'CT (CTR)'!$H$267)&lt;&gt;0,'CT (CTR)'!$H$265/AVERAGE('CT (CTR)'!$H$244:'CT (CTR)'!$H$267),0)</f>
        <v>1.4283468069553611</v>
      </c>
      <c r="AI17" s="626">
        <f>IF(AVERAGE('CT (CTR)'!$I$244:'CT (CTR)'!$I$267)&lt;&gt;0,'CT (CTR)'!$I$265/AVERAGE('CT (CTR)'!$I$244:'CT (CTR)'!$I$267),0)</f>
        <v>2.1013111545249004</v>
      </c>
      <c r="AJ17" s="626">
        <f>IF(AVERAGE('CT (CTR)'!$J$244:'CT (CTR)'!$J$267)&lt;&gt;0,'CT (CTR)'!$J$265/AVERAGE('CT (CTR)'!$J$244:'CT (CTR)'!$J$267),0)</f>
        <v>1.8332311338063982</v>
      </c>
      <c r="AK17" s="626">
        <f>IF(AVERAGE('CT (CTR)'!$K$244:'CT (CTR)'!$K$267)&lt;&gt;0,'CT (CTR)'!$K$265/AVERAGE('CT (CTR)'!$K$244:'CT (CTR)'!$K$267),0)</f>
        <v>1.8022403540312524</v>
      </c>
      <c r="AL17" s="626">
        <f>IF(AVERAGE('CT (CTR)'!$L$244:'CT (CTR)'!$L$267)&lt;&gt;0,'CT (CTR)'!$L$265/AVERAGE('CT (CTR)'!$L$244:'CT (CTR)'!$L$267),0)</f>
        <v>1.1297197755287278</v>
      </c>
      <c r="AM17" s="626">
        <f>IF(AVERAGE('CT (CTR)'!$M$244:'CT (CTR)'!$M$267)&lt;&gt;0,'CT (CTR)'!$M$265/AVERAGE('CT (CTR)'!$M$244:'CT (CTR)'!$M$267),0)</f>
        <v>1.5183789596687476</v>
      </c>
      <c r="AN17" s="626">
        <f>IF(AVERAGE('CT (CTR)'!$N$244:'CT (CTR)'!$N$267)&lt;&gt;0,'CT (CTR)'!$N$265/AVERAGE('CT (CTR)'!$N$244:'CT (CTR)'!$N$267),0)</f>
        <v>1.7980652026048787</v>
      </c>
      <c r="AO17" s="626">
        <f>IF(AVERAGE('CT (CTR)'!$O$244:'CT (CTR)'!$O$267)&lt;&gt;0,'CT (CTR)'!$O$265/AVERAGE('CT (CTR)'!$O$244:'CT (CTR)'!$O$267),0)</f>
        <v>0.94583510965400419</v>
      </c>
    </row>
    <row r="18" spans="1:41" x14ac:dyDescent="0.25">
      <c r="A18" s="625">
        <v>17</v>
      </c>
      <c r="B18" s="626">
        <f>IF(AVERAGE('CT (CTR)'!$G$6:'CT (CTR)'!$G$29)&lt;&gt;0,'CT (CTR)'!$G$28/AVERAGE('CT (CTR)'!$G$6:'CT (CTR)'!$G$29),0)</f>
        <v>0</v>
      </c>
      <c r="C18" s="626">
        <f>IF(AVERAGE('CT (CTR)'!$G$40:'CT (CTR)'!$G$63)&lt;&gt;0,'CT (CTR)'!$G$62/AVERAGE('CT (CTR)'!$G$40:'CT (CTR)'!$G$63),0)</f>
        <v>2.062142735865077</v>
      </c>
      <c r="D18" s="626">
        <f>IF(AVERAGE('CT (CTR)'!$H$40:'CT (CTR)'!$H$63)&lt;&gt;0,'CT (CTR)'!$H$62/AVERAGE('CT (CTR)'!$H$40:'CT (CTR)'!$H$63),0)</f>
        <v>1.2307043397111788</v>
      </c>
      <c r="E18" s="626">
        <f>IF(AVERAGE('CT (CTR)'!$I$40:'CT (CTR)'!$I$63)&lt;&gt;0,'CT (CTR)'!$I$62/AVERAGE('CT (CTR)'!$I$40:'CT (CTR)'!$I$63),0)</f>
        <v>0.64704285605706768</v>
      </c>
      <c r="F18" s="626">
        <f>IF(AVERAGE('CT (CTR)'!$J$40:'CT (CTR)'!$J$63)&lt;&gt;0,'CT (CTR)'!$J$62/AVERAGE('CT (CTR)'!$J$40:'CT (CTR)'!$J$63),0)</f>
        <v>1.7678244505564706</v>
      </c>
      <c r="G18" s="626">
        <f>IF(AVERAGE('CT (CTR)'!$K$40:'CT (CTR)'!$K$63)&lt;&gt;0,'CT (CTR)'!$K$62/AVERAGE('CT (CTR)'!$K$40:'CT (CTR)'!$K$63),0)</f>
        <v>0.86759403832505366</v>
      </c>
      <c r="H18" s="626">
        <f>IF(AVERAGE('CT (CTR)'!$L$40:'CT (CTR)'!$L$63)&lt;&gt;0,'CT (CTR)'!$L$62/AVERAGE('CT (CTR)'!$L$40:'CT (CTR)'!$L$63),0)</f>
        <v>1.3952296875786545</v>
      </c>
      <c r="I18" s="626">
        <f>IF(AVERAGE('CT (CTR)'!$M$40:'CT (CTR)'!$M$63)&lt;&gt;0,'CT (CTR)'!$M$62/AVERAGE('CT (CTR)'!$M$40:'CT (CTR)'!$M$63),0)</f>
        <v>1.1750721549876797</v>
      </c>
      <c r="J18" s="626">
        <f>IF(AVERAGE('CT (CTR)'!$N$40:'CT (CTR)'!$N$63)&lt;&gt;0,'CT (CTR)'!$N$62/AVERAGE('CT (CTR)'!$N$40:'CT (CTR)'!$N$63),0)</f>
        <v>1.1917042238242208</v>
      </c>
      <c r="K18" s="626">
        <f>IF(AVERAGE('CT (CTR)'!$O$40:'CT (CTR)'!$O$63)&lt;&gt;0,'CT (CTR)'!$O$62/AVERAGE('CT (CTR)'!$O$40:'CT (CTR)'!$O$63),0)</f>
        <v>1.3492958362354643E-3</v>
      </c>
      <c r="L18" s="626">
        <f>IF(AVERAGE('CT (CTR)'!$P$40:'CT (CTR)'!$P$63)&lt;&gt;0,'CT (CTR)'!$P$62/AVERAGE('CT (CTR)'!$P$40:'CT (CTR)'!$P$63),0)</f>
        <v>2.7383055846413962</v>
      </c>
      <c r="M18" s="626">
        <f>IF(AVERAGE('CT (CTR)'!$Q$40:'CT (CTR)'!$Q$63)&lt;&gt;0,'CT (CTR)'!$Q$62/AVERAGE('CT (CTR)'!$Q$40:'CT (CTR)'!$Q$63),0)</f>
        <v>2.5717778909831894</v>
      </c>
      <c r="N18" s="626">
        <f>IF(AVERAGE('CT (CTR)'!$R$40:'CT (CTR)'!$R$63)&lt;&gt;0,'CT (CTR)'!$R$62/AVERAGE('CT (CTR)'!$R$40:'CT (CTR)'!$R$63),0)</f>
        <v>1.1649398363236978</v>
      </c>
      <c r="O18" s="626">
        <f>IF(AVERAGE('CT (CTR)'!$S$40:'CT (CTR)'!$S$63)&lt;&gt;0,'CT (CTR)'!$S$62/AVERAGE('CT (CTR)'!$S$40:'CT (CTR)'!$S$63),0)</f>
        <v>0.29759771664156071</v>
      </c>
      <c r="P18" s="626">
        <f>IF(AVERAGE('CT (CTR)'!$T$40:'CT (CTR)'!$T$63)&lt;&gt;0,'CT (CTR)'!$T$62/AVERAGE('CT (CTR)'!$T$40:'CT (CTR)'!$T$63),0)</f>
        <v>0.8920052366476583</v>
      </c>
      <c r="Q18" s="626">
        <f>IF(AVERAGE('CT (CTR)'!$G$142:'CT (CTR)'!$G$165)&lt;&gt;0,'CT (CTR)'!$G$164/AVERAGE('CT (CTR)'!$G$142:'CT (CTR)'!$G$165),0)</f>
        <v>1.8102769105074301</v>
      </c>
      <c r="R18" s="626">
        <f>IF(AVERAGE('CT (CTR)'!$H$142:'CT (CTR)'!$H$165)&lt;&gt;0,'CT (CTR)'!$H$164/AVERAGE('CT (CTR)'!$H$142:'CT (CTR)'!$H$165),0)</f>
        <v>0.32315460384211503</v>
      </c>
      <c r="S18" s="626">
        <f>IF(AVERAGE('CT (CTR)'!$I$142:'CT (CTR)'!$I$165)&lt;&gt;0,'CT (CTR)'!$I$164/AVERAGE('CT (CTR)'!$I$142:'CT (CTR)'!$I$165),0)</f>
        <v>0.72539110670503293</v>
      </c>
      <c r="T18" s="626">
        <f>IF(AVERAGE('CT (CTR)'!$G$176:'CT (CTR)'!$G$199)&lt;&gt;0,'CT (CTR)'!$G$198/AVERAGE('CT (CTR)'!$G$176:'CT (CTR)'!$G$199),0)</f>
        <v>0.90393607149613797</v>
      </c>
      <c r="U18" s="626">
        <f>IF(AVERAGE('CT (CTR)'!$H$176:'CT (CTR)'!$H$199)&lt;&gt;0,'CT (CTR)'!$H$198/AVERAGE('CT (CTR)'!$H$176:'CT (CTR)'!$H$199),0)</f>
        <v>2.4838323155363469</v>
      </c>
      <c r="V18" s="626">
        <f>IF(AVERAGE('CT (CTR)'!$I$176:'CT (CTR)'!$I$199)&lt;&gt;0,'CT (CTR)'!$I$198/AVERAGE('CT (CTR)'!$I$176:'CT (CTR)'!$I$199),0)</f>
        <v>0.87422010171446585</v>
      </c>
      <c r="W18" s="626">
        <f>IF(AVERAGE('CT (CTR)'!$J$176:'CT (CTR)'!$J$199)&lt;&gt;0,'CT (CTR)'!$J$198/AVERAGE('CT (CTR)'!$J$176:'CT (CTR)'!$J$199),0)</f>
        <v>0.54021206001154021</v>
      </c>
      <c r="X18" s="626">
        <f>IF(AVERAGE('CT (CTR)'!$K$176:'CT (CTR)'!$K$199)&lt;&gt;0,'CT (CTR)'!$K$198/AVERAGE('CT (CTR)'!$K$176:'CT (CTR)'!$K$199),0)</f>
        <v>0.79940561692010859</v>
      </c>
      <c r="Y18" s="626">
        <f>IF(AVERAGE('CT (CTR)'!$L$176:'CT (CTR)'!$L$199)&lt;&gt;0,'CT (CTR)'!$L$198/AVERAGE('CT (CTR)'!$L$176:'CT (CTR)'!$L$199),0)</f>
        <v>0.64087061668681988</v>
      </c>
      <c r="Z18" s="626">
        <f>IF(AVERAGE('CT (CTR)'!$M$176:'CT (CTR)'!$M$199)&lt;&gt;0,'CT (CTR)'!$M$198/AVERAGE('CT (CTR)'!$M$176:'CT (CTR)'!$M$199),0)</f>
        <v>0.97942152151386319</v>
      </c>
      <c r="AA18" s="626">
        <f>IF(AVERAGE('CT (CTR)'!$N$176:'CT (CTR)'!$N$199)&lt;&gt;0,'CT (CTR)'!$N$198/AVERAGE('CT (CTR)'!$N$176:'CT (CTR)'!$N$199),0)</f>
        <v>1.414801343033016</v>
      </c>
      <c r="AB18" s="626">
        <f>IF(AVERAGE('CT (CTR)'!$O$176:'CT (CTR)'!$O$199)&lt;&gt;0,'CT (CTR)'!$O$198/AVERAGE('CT (CTR)'!$O$176:'CT (CTR)'!$O$199),0)</f>
        <v>0.77224880382775352</v>
      </c>
      <c r="AC18" s="626">
        <f>IF(AVERAGE('CT (CTR)'!$P$176:'CT (CTR)'!$P$199)&lt;&gt;0,'CT (CTR)'!$P$198/AVERAGE('CT (CTR)'!$P$176:'CT (CTR)'!$P$199),0)</f>
        <v>1.0933774610786537</v>
      </c>
      <c r="AD18" s="626">
        <f>IF(AVERAGE('CT (CTR)'!$Q$176:'CT (CTR)'!$Q$199)&lt;&gt;0,'CT (CTR)'!$Q$198/AVERAGE('CT (CTR)'!$Q$176:'CT (CTR)'!$Q$199),0)</f>
        <v>0.3948030815387355</v>
      </c>
      <c r="AE18" s="626">
        <f>IF(AVERAGE('CT (CTR)'!$R$176:'CT (CTR)'!$R$199)&lt;&gt;0,'CT (CTR)'!$R$198/AVERAGE('CT (CTR)'!$R$176:'CT (CTR)'!$R$199),0)</f>
        <v>2.4937744377582431</v>
      </c>
      <c r="AF18" s="626">
        <f>IF(AVERAGE('CT (CTR)'!$S$176:'CT (CTR)'!$S$199)&lt;&gt;0,'CT (CTR)'!$S$198/AVERAGE('CT (CTR)'!$S$176:'CT (CTR)'!$S$199),0)</f>
        <v>1.0064765448885411</v>
      </c>
      <c r="AG18" s="626">
        <f>IF(AVERAGE('CT (CTR)'!$G$244:'CT (CTR)'!$G$267)&lt;&gt;0,'CT (CTR)'!$G$266/AVERAGE('CT (CTR)'!$G$244:'CT (CTR)'!$G$267),0)</f>
        <v>1.3318370642973085</v>
      </c>
      <c r="AH18" s="626">
        <f>IF(AVERAGE('CT (CTR)'!$H$244:'CT (CTR)'!$H$267)&lt;&gt;0,'CT (CTR)'!$H$266/AVERAGE('CT (CTR)'!$H$244:'CT (CTR)'!$H$267),0)</f>
        <v>1.4621723470874801</v>
      </c>
      <c r="AI18" s="626">
        <f>IF(AVERAGE('CT (CTR)'!$I$244:'CT (CTR)'!$I$267)&lt;&gt;0,'CT (CTR)'!$I$266/AVERAGE('CT (CTR)'!$I$244:'CT (CTR)'!$I$267),0)</f>
        <v>2.179556183944527</v>
      </c>
      <c r="AJ18" s="626">
        <f>IF(AVERAGE('CT (CTR)'!$J$244:'CT (CTR)'!$J$267)&lt;&gt;0,'CT (CTR)'!$J$266/AVERAGE('CT (CTR)'!$J$244:'CT (CTR)'!$J$267),0)</f>
        <v>1.7572410293643403</v>
      </c>
      <c r="AK18" s="626">
        <f>IF(AVERAGE('CT (CTR)'!$K$244:'CT (CTR)'!$K$267)&lt;&gt;0,'CT (CTR)'!$K$266/AVERAGE('CT (CTR)'!$K$244:'CT (CTR)'!$K$267),0)</f>
        <v>1.6927119347254866</v>
      </c>
      <c r="AL18" s="626">
        <f>IF(AVERAGE('CT (CTR)'!$L$244:'CT (CTR)'!$L$267)&lt;&gt;0,'CT (CTR)'!$L$266/AVERAGE('CT (CTR)'!$L$244:'CT (CTR)'!$L$267),0)</f>
        <v>1.1121647383089659</v>
      </c>
      <c r="AM18" s="626">
        <f>IF(AVERAGE('CT (CTR)'!$M$244:'CT (CTR)'!$M$267)&lt;&gt;0,'CT (CTR)'!$M$266/AVERAGE('CT (CTR)'!$M$244:'CT (CTR)'!$M$267),0)</f>
        <v>1.4679289058993892</v>
      </c>
      <c r="AN18" s="626">
        <f>IF(AVERAGE('CT (CTR)'!$N$244:'CT (CTR)'!$N$267)&lt;&gt;0,'CT (CTR)'!$N$266/AVERAGE('CT (CTR)'!$N$244:'CT (CTR)'!$N$267),0)</f>
        <v>1.805846818999133</v>
      </c>
      <c r="AO18" s="626">
        <f>IF(AVERAGE('CT (CTR)'!$O$244:'CT (CTR)'!$O$267)&lt;&gt;0,'CT (CTR)'!$O$266/AVERAGE('CT (CTR)'!$O$244:'CT (CTR)'!$O$267),0)</f>
        <v>1.3236802094612168</v>
      </c>
    </row>
    <row r="19" spans="1:41" x14ac:dyDescent="0.25">
      <c r="A19" s="625">
        <v>18</v>
      </c>
      <c r="B19" s="626">
        <f>IF(AVERAGE('CT (CTR)'!$G$6:'CT (CTR)'!$G$29)&lt;&gt;0,'CT (CTR)'!$G$29/AVERAGE('CT (CTR)'!$G$6:'CT (CTR)'!$G$29),0)</f>
        <v>3.6737371528537142E-2</v>
      </c>
      <c r="C19" s="626">
        <f>IF(AVERAGE('CT (CTR)'!$G$40:'CT (CTR)'!$G$63)&lt;&gt;0,'CT (CTR)'!$G$63/AVERAGE('CT (CTR)'!$G$40:'CT (CTR)'!$G$63),0)</f>
        <v>1.6495674286349937</v>
      </c>
      <c r="D19" s="626">
        <f>IF(AVERAGE('CT (CTR)'!$H$40:'CT (CTR)'!$H$63)&lt;&gt;0,'CT (CTR)'!$H$63/AVERAGE('CT (CTR)'!$H$40:'CT (CTR)'!$H$63),0)</f>
        <v>1.2899492268027641</v>
      </c>
      <c r="E19" s="626">
        <f>IF(AVERAGE('CT (CTR)'!$I$40:'CT (CTR)'!$I$63)&lt;&gt;0,'CT (CTR)'!$I$63/AVERAGE('CT (CTR)'!$I$40:'CT (CTR)'!$I$63),0)</f>
        <v>0.27671961693395136</v>
      </c>
      <c r="F19" s="626">
        <f>IF(AVERAGE('CT (CTR)'!$J$40:'CT (CTR)'!$J$63)&lt;&gt;0,'CT (CTR)'!$J$63/AVERAGE('CT (CTR)'!$J$40:'CT (CTR)'!$J$63),0)</f>
        <v>1.6947299403084204</v>
      </c>
      <c r="G19" s="626">
        <f>IF(AVERAGE('CT (CTR)'!$K$40:'CT (CTR)'!$K$63)&lt;&gt;0,'CT (CTR)'!$K$63/AVERAGE('CT (CTR)'!$K$40:'CT (CTR)'!$K$63),0)</f>
        <v>1.3340525195173871</v>
      </c>
      <c r="H19" s="626">
        <f>IF(AVERAGE('CT (CTR)'!$L$40:'CT (CTR)'!$L$63)&lt;&gt;0,'CT (CTR)'!$L$63/AVERAGE('CT (CTR)'!$L$40:'CT (CTR)'!$L$63),0)</f>
        <v>1.5047235154066589</v>
      </c>
      <c r="I19" s="626">
        <f>IF(AVERAGE('CT (CTR)'!$M$40:'CT (CTR)'!$M$63)&lt;&gt;0,'CT (CTR)'!$M$63/AVERAGE('CT (CTR)'!$M$40:'CT (CTR)'!$M$63),0)</f>
        <v>1.2096768199779493</v>
      </c>
      <c r="J19" s="626">
        <f>IF(AVERAGE('CT (CTR)'!$N$40:'CT (CTR)'!$N$63)&lt;&gt;0,'CT (CTR)'!$N$63/AVERAGE('CT (CTR)'!$N$40:'CT (CTR)'!$N$63),0)</f>
        <v>1.5849547834833988</v>
      </c>
      <c r="K19" s="626">
        <f>IF(AVERAGE('CT (CTR)'!$O$40:'CT (CTR)'!$O$63)&lt;&gt;0,'CT (CTR)'!$O$63/AVERAGE('CT (CTR)'!$O$40:'CT (CTR)'!$O$63),0)</f>
        <v>0.51355698744717637</v>
      </c>
      <c r="L19" s="626">
        <f>IF(AVERAGE('CT (CTR)'!$P$40:'CT (CTR)'!$P$63)&lt;&gt;0,'CT (CTR)'!$P$63/AVERAGE('CT (CTR)'!$P$40:'CT (CTR)'!$P$63),0)</f>
        <v>2.2565308376118618</v>
      </c>
      <c r="M19" s="626">
        <f>IF(AVERAGE('CT (CTR)'!$Q$40:'CT (CTR)'!$Q$63)&lt;&gt;0,'CT (CTR)'!$Q$63/AVERAGE('CT (CTR)'!$Q$40:'CT (CTR)'!$Q$63),0)</f>
        <v>2.149363219561899</v>
      </c>
      <c r="N19" s="626">
        <f>IF(AVERAGE('CT (CTR)'!$R$40:'CT (CTR)'!$R$63)&lt;&gt;0,'CT (CTR)'!$R$63/AVERAGE('CT (CTR)'!$R$40:'CT (CTR)'!$R$63),0)</f>
        <v>0.70097000563730683</v>
      </c>
      <c r="O19" s="626">
        <f>IF(AVERAGE('CT (CTR)'!$S$40:'CT (CTR)'!$S$63)&lt;&gt;0,'CT (CTR)'!$S$63/AVERAGE('CT (CTR)'!$S$40:'CT (CTR)'!$S$63),0)</f>
        <v>1.8986125426147578</v>
      </c>
      <c r="P19" s="626">
        <f>IF(AVERAGE('CT (CTR)'!$T$40:'CT (CTR)'!$T$63)&lt;&gt;0,'CT (CTR)'!$T$63/AVERAGE('CT (CTR)'!$T$40:'CT (CTR)'!$T$63),0)</f>
        <v>1.1223289768566806</v>
      </c>
      <c r="Q19" s="626">
        <f>IF(AVERAGE('CT (CTR)'!$G$142:'CT (CTR)'!$G$165)&lt;&gt;0,'CT (CTR)'!$G$165/AVERAGE('CT (CTR)'!$G$142:'CT (CTR)'!$G$165),0)</f>
        <v>1.8613988503399337</v>
      </c>
      <c r="R19" s="626">
        <f>IF(AVERAGE('CT (CTR)'!$H$142:'CT (CTR)'!$H$165)&lt;&gt;0,'CT (CTR)'!$H$165/AVERAGE('CT (CTR)'!$H$142:'CT (CTR)'!$H$165),0)</f>
        <v>1.2089444554450499</v>
      </c>
      <c r="S19" s="626">
        <f>IF(AVERAGE('CT (CTR)'!$I$142:'CT (CTR)'!$I$165)&lt;&gt;0,'CT (CTR)'!$I$165/AVERAGE('CT (CTR)'!$I$142:'CT (CTR)'!$I$165),0)</f>
        <v>0.90586841405324026</v>
      </c>
      <c r="T19" s="626">
        <f>IF(AVERAGE('CT (CTR)'!$G$176:'CT (CTR)'!$G$199)&lt;&gt;0,'CT (CTR)'!$G$199/AVERAGE('CT (CTR)'!$G$176:'CT (CTR)'!$G$199),0)</f>
        <v>1.1473256515824468</v>
      </c>
      <c r="U19" s="626">
        <f>IF(AVERAGE('CT (CTR)'!$H$176:'CT (CTR)'!$H$199)&lt;&gt;0,'CT (CTR)'!$H$199/AVERAGE('CT (CTR)'!$H$176:'CT (CTR)'!$H$199),0)</f>
        <v>2.196061580160809</v>
      </c>
      <c r="V19" s="626">
        <f>IF(AVERAGE('CT (CTR)'!$I$176:'CT (CTR)'!$I$199)&lt;&gt;0,'CT (CTR)'!$I$199/AVERAGE('CT (CTR)'!$I$176:'CT (CTR)'!$I$199),0)</f>
        <v>1.8019189430084424</v>
      </c>
      <c r="W19" s="626">
        <f>IF(AVERAGE('CT (CTR)'!$J$176:'CT (CTR)'!$J$199)&lt;&gt;0,'CT (CTR)'!$J$199/AVERAGE('CT (CTR)'!$J$176:'CT (CTR)'!$J$199),0)</f>
        <v>0.86241344489325167</v>
      </c>
      <c r="X19" s="626">
        <f>IF(AVERAGE('CT (CTR)'!$K$176:'CT (CTR)'!$K$199)&lt;&gt;0,'CT (CTR)'!$K$199/AVERAGE('CT (CTR)'!$K$176:'CT (CTR)'!$K$199),0)</f>
        <v>1.2739610679082625</v>
      </c>
      <c r="Y19" s="626">
        <f>IF(AVERAGE('CT (CTR)'!$L$176:'CT (CTR)'!$L$199)&lt;&gt;0,'CT (CTR)'!$L$199/AVERAGE('CT (CTR)'!$L$176:'CT (CTR)'!$L$199),0)</f>
        <v>0.42874416997754405</v>
      </c>
      <c r="Z19" s="626">
        <f>IF(AVERAGE('CT (CTR)'!$M$176:'CT (CTR)'!$M$199)&lt;&gt;0,'CT (CTR)'!$M$199/AVERAGE('CT (CTR)'!$M$176:'CT (CTR)'!$M$199),0)</f>
        <v>0.97357970943939431</v>
      </c>
      <c r="AA19" s="626">
        <f>IF(AVERAGE('CT (CTR)'!$N$176:'CT (CTR)'!$N$199)&lt;&gt;0,'CT (CTR)'!$N$199/AVERAGE('CT (CTR)'!$N$176:'CT (CTR)'!$N$199),0)</f>
        <v>1.415640738668158</v>
      </c>
      <c r="AB19" s="626">
        <f>IF(AVERAGE('CT (CTR)'!$O$176:'CT (CTR)'!$O$199)&lt;&gt;0,'CT (CTR)'!$O$199/AVERAGE('CT (CTR)'!$O$176:'CT (CTR)'!$O$199),0)</f>
        <v>0.92276144907723723</v>
      </c>
      <c r="AC19" s="626">
        <f>IF(AVERAGE('CT (CTR)'!$P$176:'CT (CTR)'!$P$199)&lt;&gt;0,'CT (CTR)'!$P$199/AVERAGE('CT (CTR)'!$P$176:'CT (CTR)'!$P$199),0)</f>
        <v>0.80118874742494284</v>
      </c>
      <c r="AD19" s="626">
        <f>IF(AVERAGE('CT (CTR)'!$Q$176:'CT (CTR)'!$Q$199)&lt;&gt;0,'CT (CTR)'!$Q$199/AVERAGE('CT (CTR)'!$Q$176:'CT (CTR)'!$Q$199),0)</f>
        <v>0.59067910808267976</v>
      </c>
      <c r="AE19" s="626">
        <f>IF(AVERAGE('CT (CTR)'!$R$176:'CT (CTR)'!$R$199)&lt;&gt;0,'CT (CTR)'!$R$199/AVERAGE('CT (CTR)'!$R$176:'CT (CTR)'!$R$199),0)</f>
        <v>1.5566955991237088</v>
      </c>
      <c r="AF19" s="626">
        <f>IF(AVERAGE('CT (CTR)'!$S$176:'CT (CTR)'!$S$199)&lt;&gt;0,'CT (CTR)'!$S$199/AVERAGE('CT (CTR)'!$S$176:'CT (CTR)'!$S$199),0)</f>
        <v>1.007335313271551</v>
      </c>
      <c r="AG19" s="626">
        <f>IF(AVERAGE('CT (CTR)'!$G$244:'CT (CTR)'!$G$267)&lt;&gt;0,'CT (CTR)'!$G$267/AVERAGE('CT (CTR)'!$G$244:'CT (CTR)'!$G$267),0)</f>
        <v>1.221798469693697</v>
      </c>
      <c r="AH19" s="626">
        <f>IF(AVERAGE('CT (CTR)'!$H$244:'CT (CTR)'!$H$267)&lt;&gt;0,'CT (CTR)'!$H$267/AVERAGE('CT (CTR)'!$H$244:'CT (CTR)'!$H$267),0)</f>
        <v>1.2748635252975635</v>
      </c>
      <c r="AI19" s="626">
        <f>IF(AVERAGE('CT (CTR)'!$I$244:'CT (CTR)'!$I$267)&lt;&gt;0,'CT (CTR)'!$I$267/AVERAGE('CT (CTR)'!$I$244:'CT (CTR)'!$I$267),0)</f>
        <v>1.2394961817219261</v>
      </c>
      <c r="AJ19" s="626">
        <f>IF(AVERAGE('CT (CTR)'!$J$244:'CT (CTR)'!$J$267)&lt;&gt;0,'CT (CTR)'!$J$267/AVERAGE('CT (CTR)'!$J$244:'CT (CTR)'!$J$267),0)</f>
        <v>1.8808892956664631</v>
      </c>
      <c r="AK19" s="626">
        <f>IF(AVERAGE('CT (CTR)'!$K$244:'CT (CTR)'!$K$267)&lt;&gt;0,'CT (CTR)'!$K$267/AVERAGE('CT (CTR)'!$K$244:'CT (CTR)'!$K$267),0)</f>
        <v>0.91605587055732474</v>
      </c>
      <c r="AL19" s="626">
        <f>IF(AVERAGE('CT (CTR)'!$L$244:'CT (CTR)'!$L$267)&lt;&gt;0,'CT (CTR)'!$L$267/AVERAGE('CT (CTR)'!$L$244:'CT (CTR)'!$L$267),0)</f>
        <v>1.0843146660745244</v>
      </c>
      <c r="AM19" s="626">
        <f>IF(AVERAGE('CT (CTR)'!$M$244:'CT (CTR)'!$M$267)&lt;&gt;0,'CT (CTR)'!$M$267/AVERAGE('CT (CTR)'!$M$244:'CT (CTR)'!$M$267),0)</f>
        <v>1.2665351363709503</v>
      </c>
      <c r="AN19" s="626">
        <f>IF(AVERAGE('CT (CTR)'!$N$244:'CT (CTR)'!$N$267)&lt;&gt;0,'CT (CTR)'!$N$267/AVERAGE('CT (CTR)'!$N$244:'CT (CTR)'!$N$267),0)</f>
        <v>1.2344317164003202</v>
      </c>
      <c r="AO19" s="626">
        <f>IF(AVERAGE('CT (CTR)'!$O$244:'CT (CTR)'!$O$267)&lt;&gt;0,'CT (CTR)'!$O$267/AVERAGE('CT (CTR)'!$O$244:'CT (CTR)'!$O$267),0)</f>
        <v>1.5629911605253162</v>
      </c>
    </row>
    <row r="20" spans="1:41" x14ac:dyDescent="0.25">
      <c r="A20" s="625">
        <v>19</v>
      </c>
      <c r="B20" s="626">
        <f>IF(AVERAGE('CT (CTR)'!$G$6:'CT (CTR)'!$G$29)&lt;&gt;0,'CT (CTR)'!$G$6/AVERAGE('CT (CTR)'!$G$6:'CT (CTR)'!$G$29),0)</f>
        <v>1.3907719221517698</v>
      </c>
      <c r="C20" s="626">
        <f>IF(AVERAGE('CT (CTR)'!$G$40:'CT (CTR)'!$G$63)&lt;&gt;0,'CT (CTR)'!$G$40/AVERAGE('CT (CTR)'!$G$40:'CT (CTR)'!$G$63),0)</f>
        <v>0.61869512354581691</v>
      </c>
      <c r="D20" s="626">
        <f>IF(AVERAGE('CT (CTR)'!$H$40:'CT (CTR)'!$H$63)&lt;&gt;0,'CT (CTR)'!$H$40/AVERAGE('CT (CTR)'!$H$40:'CT (CTR)'!$H$63),0)</f>
        <v>1.4479946432431587</v>
      </c>
      <c r="E20" s="626">
        <f>IF(AVERAGE('CT (CTR)'!$I$40:'CT (CTR)'!$I$63)&lt;&gt;0,'CT (CTR)'!$I$40/AVERAGE('CT (CTR)'!$I$40:'CT (CTR)'!$I$63),0)</f>
        <v>0.23674524153356719</v>
      </c>
      <c r="F20" s="626">
        <f>IF(AVERAGE('CT (CTR)'!$J$40:'CT (CTR)'!$J$63)&lt;&gt;0,'CT (CTR)'!$J$40/AVERAGE('CT (CTR)'!$J$40:'CT (CTR)'!$J$63),0)</f>
        <v>1.2573890681812352</v>
      </c>
      <c r="G20" s="626">
        <f>IF(AVERAGE('CT (CTR)'!$K$40:'CT (CTR)'!$K$63)&lt;&gt;0,'CT (CTR)'!$K$40/AVERAGE('CT (CTR)'!$K$40:'CT (CTR)'!$K$63),0)</f>
        <v>1.5833073101490411</v>
      </c>
      <c r="H20" s="626">
        <f>IF(AVERAGE('CT (CTR)'!$L$40:'CT (CTR)'!$L$63)&lt;&gt;0,'CT (CTR)'!$L$40/AVERAGE('CT (CTR)'!$L$40:'CT (CTR)'!$L$63),0)</f>
        <v>1.5656230248769967</v>
      </c>
      <c r="I20" s="626">
        <f>IF(AVERAGE('CT (CTR)'!$M$40:'CT (CTR)'!$M$63)&lt;&gt;0,'CT (CTR)'!$M$40/AVERAGE('CT (CTR)'!$M$40:'CT (CTR)'!$M$63),0)</f>
        <v>1.1524185856383684</v>
      </c>
      <c r="J20" s="626">
        <f>IF(AVERAGE('CT (CTR)'!$N$40:'CT (CTR)'!$N$63)&lt;&gt;0,'CT (CTR)'!$N$40/AVERAGE('CT (CTR)'!$N$40:'CT (CTR)'!$N$63),0)</f>
        <v>2.2320884409423938</v>
      </c>
      <c r="K20" s="626">
        <f>IF(AVERAGE('CT (CTR)'!$O$40:'CT (CTR)'!$O$63)&lt;&gt;0,'CT (CTR)'!$O$40/AVERAGE('CT (CTR)'!$O$40:'CT (CTR)'!$O$63),0)</f>
        <v>1.9094784909125515</v>
      </c>
      <c r="L20" s="626">
        <f>IF(AVERAGE('CT (CTR)'!$P$40:'CT (CTR)'!$P$63)&lt;&gt;0,'CT (CTR)'!$P$40/AVERAGE('CT (CTR)'!$P$40:'CT (CTR)'!$P$63),0)</f>
        <v>0.16916248140082055</v>
      </c>
      <c r="M20" s="626">
        <f>IF(AVERAGE('CT (CTR)'!$Q$40:'CT (CTR)'!$Q$63)&lt;&gt;0,'CT (CTR)'!$Q$40/AVERAGE('CT (CTR)'!$Q$40:'CT (CTR)'!$Q$63),0)</f>
        <v>0.77126846663270354</v>
      </c>
      <c r="N20" s="626">
        <f>IF(AVERAGE('CT (CTR)'!$R$40:'CT (CTR)'!$R$63)&lt;&gt;0,'CT (CTR)'!$R$40/AVERAGE('CT (CTR)'!$R$40:'CT (CTR)'!$R$63),0)</f>
        <v>0.67974262776276684</v>
      </c>
      <c r="O20" s="626">
        <f>IF(AVERAGE('CT (CTR)'!$S$40:'CT (CTR)'!$S$63)&lt;&gt;0,'CT (CTR)'!$S$40/AVERAGE('CT (CTR)'!$S$40:'CT (CTR)'!$S$63),0)</f>
        <v>2.016332355506226</v>
      </c>
      <c r="P20" s="626">
        <f>IF(AVERAGE('CT (CTR)'!$T$40:'CT (CTR)'!$T$63)&lt;&gt;0,'CT (CTR)'!$T$40/AVERAGE('CT (CTR)'!$T$40:'CT (CTR)'!$T$63),0)</f>
        <v>0.88827745356913013</v>
      </c>
      <c r="Q20" s="626">
        <f>IF(AVERAGE('CT (CTR)'!$G$142:'CT (CTR)'!$G$165)&lt;&gt;0,'CT (CTR)'!$G$142/AVERAGE('CT (CTR)'!$G$142:'CT (CTR)'!$G$165),0)</f>
        <v>1.5826792331709025</v>
      </c>
      <c r="R20" s="626">
        <f>IF(AVERAGE('CT (CTR)'!$H$142:'CT (CTR)'!$H$165)&lt;&gt;0,'CT (CTR)'!$H$142/AVERAGE('CT (CTR)'!$H$142:'CT (CTR)'!$H$165),0)</f>
        <v>0.42125510857990084</v>
      </c>
      <c r="S20" s="626">
        <f>IF(AVERAGE('CT (CTR)'!$I$142:'CT (CTR)'!$I$165)&lt;&gt;0,'CT (CTR)'!$I$142/AVERAGE('CT (CTR)'!$I$142:'CT (CTR)'!$I$165),0)</f>
        <v>2.3949512778973374</v>
      </c>
      <c r="T20" s="626">
        <f>IF(AVERAGE('CT (CTR)'!$G$176:'CT (CTR)'!$G$199)&lt;&gt;0,'CT (CTR)'!$G$176/AVERAGE('CT (CTR)'!$G$176:'CT (CTR)'!$G$199),0)</f>
        <v>2.5626176812403738</v>
      </c>
      <c r="U20" s="626">
        <f>IF(AVERAGE('CT (CTR)'!$H$176:'CT (CTR)'!$H$199)&lt;&gt;0,'CT (CTR)'!$H$176/AVERAGE('CT (CTR)'!$H$176:'CT (CTR)'!$H$199),0)</f>
        <v>1.2972490558865577</v>
      </c>
      <c r="V20" s="626">
        <f>IF(AVERAGE('CT (CTR)'!$I$176:'CT (CTR)'!$I$199)&lt;&gt;0,'CT (CTR)'!$I$176/AVERAGE('CT (CTR)'!$I$176:'CT (CTR)'!$I$199),0)</f>
        <v>1.5405022807109479</v>
      </c>
      <c r="W20" s="626">
        <f>IF(AVERAGE('CT (CTR)'!$J$176:'CT (CTR)'!$J$199)&lt;&gt;0,'CT (CTR)'!$J$176/AVERAGE('CT (CTR)'!$J$176:'CT (CTR)'!$J$199),0)</f>
        <v>1.8825735718407353</v>
      </c>
      <c r="X20" s="626">
        <f>IF(AVERAGE('CT (CTR)'!$K$176:'CT (CTR)'!$K$199)&lt;&gt;0,'CT (CTR)'!$K$176/AVERAGE('CT (CTR)'!$K$176:'CT (CTR)'!$K$199),0)</f>
        <v>2.0790727623953638</v>
      </c>
      <c r="Y20" s="626">
        <f>IF(AVERAGE('CT (CTR)'!$L$176:'CT (CTR)'!$L$199)&lt;&gt;0,'CT (CTR)'!$L$176/AVERAGE('CT (CTR)'!$L$176:'CT (CTR)'!$L$199),0)</f>
        <v>1.5204698566246326</v>
      </c>
      <c r="Z20" s="626">
        <f>IF(AVERAGE('CT (CTR)'!$M$176:'CT (CTR)'!$M$199)&lt;&gt;0,'CT (CTR)'!$M$176/AVERAGE('CT (CTR)'!$M$176:'CT (CTR)'!$M$199),0)</f>
        <v>1.1403217169363873</v>
      </c>
      <c r="AA20" s="626">
        <f>IF(AVERAGE('CT (CTR)'!$N$176:'CT (CTR)'!$N$199)&lt;&gt;0,'CT (CTR)'!$N$176/AVERAGE('CT (CTR)'!$N$176:'CT (CTR)'!$N$199),0)</f>
        <v>1.4794348069390033</v>
      </c>
      <c r="AB20" s="626">
        <f>IF(AVERAGE('CT (CTR)'!$O$176:'CT (CTR)'!$O$199)&lt;&gt;0,'CT (CTR)'!$O$176/AVERAGE('CT (CTR)'!$O$176:'CT (CTR)'!$O$199),0)</f>
        <v>1.0339029391660963</v>
      </c>
      <c r="AC20" s="626">
        <f>IF(AVERAGE('CT (CTR)'!$P$176:'CT (CTR)'!$P$199)&lt;&gt;0,'CT (CTR)'!$P$176/AVERAGE('CT (CTR)'!$P$176:'CT (CTR)'!$P$199),0)</f>
        <v>1.0103002262672662</v>
      </c>
      <c r="AD20" s="626">
        <f>IF(AVERAGE('CT (CTR)'!$Q$176:'CT (CTR)'!$Q$199)&lt;&gt;0,'CT (CTR)'!$Q$176/AVERAGE('CT (CTR)'!$Q$176:'CT (CTR)'!$Q$199),0)</f>
        <v>1.1105743561058721</v>
      </c>
      <c r="AE20" s="626">
        <f>IF(AVERAGE('CT (CTR)'!$R$176:'CT (CTR)'!$R$199)&lt;&gt;0,'CT (CTR)'!$R$176/AVERAGE('CT (CTR)'!$R$176:'CT (CTR)'!$R$199),0)</f>
        <v>1.2651895399462012</v>
      </c>
      <c r="AF20" s="626">
        <f>IF(AVERAGE('CT (CTR)'!$S$176:'CT (CTR)'!$S$199)&lt;&gt;0,'CT (CTR)'!$S$176/AVERAGE('CT (CTR)'!$S$176:'CT (CTR)'!$S$199),0)</f>
        <v>1.1936880523848692</v>
      </c>
      <c r="AG20" s="626">
        <f>IF(AVERAGE('CT (CTR)'!$G$244:'CT (CTR)'!$G$267)&lt;&gt;0,'CT (CTR)'!$G$244/AVERAGE('CT (CTR)'!$G$244:'CT (CTR)'!$G$267),0)</f>
        <v>7.8299415998199812E-2</v>
      </c>
      <c r="AH20" s="626">
        <f>IF(AVERAGE('CT (CTR)'!$H$244:'CT (CTR)'!$H$267)&lt;&gt;0,'CT (CTR)'!$H$244/AVERAGE('CT (CTR)'!$H$244:'CT (CTR)'!$H$267),0)</f>
        <v>1.1657793591228025</v>
      </c>
      <c r="AI20" s="626">
        <f>IF(AVERAGE('CT (CTR)'!$I$244:'CT (CTR)'!$I$267)&lt;&gt;0,'CT (CTR)'!$I$244/AVERAGE('CT (CTR)'!$I$244:'CT (CTR)'!$I$267),0)</f>
        <v>0.59899482062850218</v>
      </c>
      <c r="AJ20" s="626">
        <f>IF(AVERAGE('CT (CTR)'!$J$244:'CT (CTR)'!$J$267)&lt;&gt;0,'CT (CTR)'!$J$244/AVERAGE('CT (CTR)'!$J$244:'CT (CTR)'!$J$267),0)</f>
        <v>1.5062751208552507</v>
      </c>
      <c r="AK20" s="626">
        <f>IF(AVERAGE('CT (CTR)'!$K$244:'CT (CTR)'!$K$267)&lt;&gt;0,'CT (CTR)'!$K$244/AVERAGE('CT (CTR)'!$K$244:'CT (CTR)'!$K$267),0)</f>
        <v>0.16263310745401749</v>
      </c>
      <c r="AL20" s="626">
        <f>IF(AVERAGE('CT (CTR)'!$L$244:'CT (CTR)'!$L$267)&lt;&gt;0,'CT (CTR)'!$L$244/AVERAGE('CT (CTR)'!$L$244:'CT (CTR)'!$L$267),0)</f>
        <v>1.0193427394527939</v>
      </c>
      <c r="AM20" s="626">
        <f>IF(AVERAGE('CT (CTR)'!$M$244:'CT (CTR)'!$M$267)&lt;&gt;0,'CT (CTR)'!$M$244/AVERAGE('CT (CTR)'!$M$244:'CT (CTR)'!$M$267),0)</f>
        <v>0.54331608762288608</v>
      </c>
      <c r="AN20" s="626">
        <f>IF(AVERAGE('CT (CTR)'!$N$244:'CT (CTR)'!$N$267)&lt;&gt;0,'CT (CTR)'!$N$244/AVERAGE('CT (CTR)'!$N$244:'CT (CTR)'!$N$267),0)</f>
        <v>1.0688358216996308</v>
      </c>
      <c r="AO20" s="626">
        <f>IF(AVERAGE('CT (CTR)'!$O$244:'CT (CTR)'!$O$267)&lt;&gt;0,'CT (CTR)'!$O$244/AVERAGE('CT (CTR)'!$O$244:'CT (CTR)'!$O$267),0)</f>
        <v>1.8766397168953566</v>
      </c>
    </row>
    <row r="21" spans="1:41" x14ac:dyDescent="0.25">
      <c r="A21" s="625">
        <v>20</v>
      </c>
      <c r="B21" s="626">
        <f>IF(AVERAGE('CT (CTR)'!$G$6:'CT (CTR)'!$G$29)&lt;&gt;0,'CT (CTR)'!$G$7/AVERAGE('CT (CTR)'!$G$6:'CT (CTR)'!$G$29),0)</f>
        <v>2.0625410015307222</v>
      </c>
      <c r="C21" s="626">
        <f>IF(AVERAGE('CT (CTR)'!$G$40:'CT (CTR)'!$G$63)&lt;&gt;0,'CT (CTR)'!$G$41/AVERAGE('CT (CTR)'!$G$40:'CT (CTR)'!$G$63),0)</f>
        <v>0.3982349761222162</v>
      </c>
      <c r="D21" s="626">
        <f>IF(AVERAGE('CT (CTR)'!$H$40:'CT (CTR)'!$H$63)&lt;&gt;0,'CT (CTR)'!$H$41/AVERAGE('CT (CTR)'!$H$40:'CT (CTR)'!$H$63),0)</f>
        <v>1.1647529617698404</v>
      </c>
      <c r="E21" s="626">
        <f>IF(AVERAGE('CT (CTR)'!$I$40:'CT (CTR)'!$I$63)&lt;&gt;0,'CT (CTR)'!$I$41/AVERAGE('CT (CTR)'!$I$40:'CT (CTR)'!$I$63),0)</f>
        <v>0.22718161977871629</v>
      </c>
      <c r="F21" s="626">
        <f>IF(AVERAGE('CT (CTR)'!$J$40:'CT (CTR)'!$J$63)&lt;&gt;0,'CT (CTR)'!$J$41/AVERAGE('CT (CTR)'!$J$40:'CT (CTR)'!$J$63),0)</f>
        <v>0.63046569650110285</v>
      </c>
      <c r="G21" s="626">
        <f>IF(AVERAGE('CT (CTR)'!$K$40:'CT (CTR)'!$K$63)&lt;&gt;0,'CT (CTR)'!$K$41/AVERAGE('CT (CTR)'!$K$40:'CT (CTR)'!$K$63),0)</f>
        <v>1.5022853087295962</v>
      </c>
      <c r="H21" s="626">
        <f>IF(AVERAGE('CT (CTR)'!$L$40:'CT (CTR)'!$L$63)&lt;&gt;0,'CT (CTR)'!$L$41/AVERAGE('CT (CTR)'!$L$40:'CT (CTR)'!$L$63),0)</f>
        <v>1.5254857287749455</v>
      </c>
      <c r="I21" s="626">
        <f>IF(AVERAGE('CT (CTR)'!$M$40:'CT (CTR)'!$M$63)&lt;&gt;0,'CT (CTR)'!$M$41/AVERAGE('CT (CTR)'!$M$40:'CT (CTR)'!$M$63),0)</f>
        <v>1.1061601159434622</v>
      </c>
      <c r="J21" s="626">
        <f>IF(AVERAGE('CT (CTR)'!$N$40:'CT (CTR)'!$N$63)&lt;&gt;0,'CT (CTR)'!$N$41/AVERAGE('CT (CTR)'!$N$40:'CT (CTR)'!$N$63),0)</f>
        <v>2.1606493032613092</v>
      </c>
      <c r="K21" s="626">
        <f>IF(AVERAGE('CT (CTR)'!$O$40:'CT (CTR)'!$O$63)&lt;&gt;0,'CT (CTR)'!$O$41/AVERAGE('CT (CTR)'!$O$40:'CT (CTR)'!$O$63),0)</f>
        <v>2.1420071400238005</v>
      </c>
      <c r="L21" s="626">
        <f>IF(AVERAGE('CT (CTR)'!$P$40:'CT (CTR)'!$P$63)&lt;&gt;0,'CT (CTR)'!$P$41/AVERAGE('CT (CTR)'!$P$40:'CT (CTR)'!$P$63),0)</f>
        <v>1.0727801249064588</v>
      </c>
      <c r="M21" s="626">
        <f>IF(AVERAGE('CT (CTR)'!$Q$40:'CT (CTR)'!$Q$63)&lt;&gt;0,'CT (CTR)'!$Q$41/AVERAGE('CT (CTR)'!$Q$40:'CT (CTR)'!$Q$63),0)</f>
        <v>0.56240448293428391</v>
      </c>
      <c r="N21" s="626">
        <f>IF(AVERAGE('CT (CTR)'!$R$40:'CT (CTR)'!$R$63)&lt;&gt;0,'CT (CTR)'!$R$41/AVERAGE('CT (CTR)'!$R$40:'CT (CTR)'!$R$63),0)</f>
        <v>1.3188966428863014</v>
      </c>
      <c r="O21" s="626">
        <f>IF(AVERAGE('CT (CTR)'!$S$40:'CT (CTR)'!$S$63)&lt;&gt;0,'CT (CTR)'!$S$41/AVERAGE('CT (CTR)'!$S$40:'CT (CTR)'!$S$63),0)</f>
        <v>2.0150638230397213</v>
      </c>
      <c r="P21" s="626">
        <f>IF(AVERAGE('CT (CTR)'!$T$40:'CT (CTR)'!$T$63)&lt;&gt;0,'CT (CTR)'!$T$41/AVERAGE('CT (CTR)'!$T$40:'CT (CTR)'!$T$63),0)</f>
        <v>0.8273015732132164</v>
      </c>
      <c r="Q21" s="626">
        <f>IF(AVERAGE('CT (CTR)'!$G$142:'CT (CTR)'!$G$165)&lt;&gt;0,'CT (CTR)'!$G$143/AVERAGE('CT (CTR)'!$G$142:'CT (CTR)'!$G$165),0)</f>
        <v>1.5462636047970559</v>
      </c>
      <c r="R21" s="626">
        <f>IF(AVERAGE('CT (CTR)'!$H$142:'CT (CTR)'!$H$165)&lt;&gt;0,'CT (CTR)'!$H$143/AVERAGE('CT (CTR)'!$H$142:'CT (CTR)'!$H$165),0)</f>
        <v>1.7542678494286206</v>
      </c>
      <c r="S21" s="626">
        <f>IF(AVERAGE('CT (CTR)'!$I$142:'CT (CTR)'!$I$165)&lt;&gt;0,'CT (CTR)'!$I$143/AVERAGE('CT (CTR)'!$I$142:'CT (CTR)'!$I$165),0)</f>
        <v>2.5011485359189494</v>
      </c>
      <c r="T21" s="626">
        <f>IF(AVERAGE('CT (CTR)'!$G$176:'CT (CTR)'!$G$199)&lt;&gt;0,'CT (CTR)'!$G$177/AVERAGE('CT (CTR)'!$G$176:'CT (CTR)'!$G$199),0)</f>
        <v>2.9288912512725322</v>
      </c>
      <c r="U21" s="626">
        <f>IF(AVERAGE('CT (CTR)'!$H$176:'CT (CTR)'!$H$199)&lt;&gt;0,'CT (CTR)'!$H$177/AVERAGE('CT (CTR)'!$H$176:'CT (CTR)'!$H$199),0)</f>
        <v>0.62274301108145458</v>
      </c>
      <c r="V21" s="626">
        <f>IF(AVERAGE('CT (CTR)'!$I$176:'CT (CTR)'!$I$199)&lt;&gt;0,'CT (CTR)'!$I$177/AVERAGE('CT (CTR)'!$I$176:'CT (CTR)'!$I$199),0)</f>
        <v>1.5254024013002683</v>
      </c>
      <c r="W21" s="626">
        <f>IF(AVERAGE('CT (CTR)'!$J$176:'CT (CTR)'!$J$199)&lt;&gt;0,'CT (CTR)'!$J$177/AVERAGE('CT (CTR)'!$J$176:'CT (CTR)'!$J$199),0)</f>
        <v>2.0495167339873093</v>
      </c>
      <c r="X21" s="626">
        <f>IF(AVERAGE('CT (CTR)'!$K$176:'CT (CTR)'!$K$199)&lt;&gt;0,'CT (CTR)'!$K$177/AVERAGE('CT (CTR)'!$K$176:'CT (CTR)'!$K$199),0)</f>
        <v>1.7308435286542152</v>
      </c>
      <c r="Y21" s="626">
        <f>IF(AVERAGE('CT (CTR)'!$L$176:'CT (CTR)'!$L$199)&lt;&gt;0,'CT (CTR)'!$L$177/AVERAGE('CT (CTR)'!$L$176:'CT (CTR)'!$L$199),0)</f>
        <v>1.6921748143029871</v>
      </c>
      <c r="Z21" s="626">
        <f>IF(AVERAGE('CT (CTR)'!$M$176:'CT (CTR)'!$M$199)&lt;&gt;0,'CT (CTR)'!$M$177/AVERAGE('CT (CTR)'!$M$176:'CT (CTR)'!$M$199),0)</f>
        <v>1.5505838334805357</v>
      </c>
      <c r="AA21" s="626">
        <f>IF(AVERAGE('CT (CTR)'!$N$176:'CT (CTR)'!$N$199)&lt;&gt;0,'CT (CTR)'!$N$177/AVERAGE('CT (CTR)'!$N$176:'CT (CTR)'!$N$199),0)</f>
        <v>1.7232792389479561</v>
      </c>
      <c r="AB21" s="626">
        <f>IF(AVERAGE('CT (CTR)'!$O$176:'CT (CTR)'!$O$199)&lt;&gt;0,'CT (CTR)'!$O$177/AVERAGE('CT (CTR)'!$O$176:'CT (CTR)'!$O$199),0)</f>
        <v>1.1003417634996573</v>
      </c>
      <c r="AC21" s="626">
        <f>IF(AVERAGE('CT (CTR)'!$P$176:'CT (CTR)'!$P$199)&lt;&gt;0,'CT (CTR)'!$P$177/AVERAGE('CT (CTR)'!$P$176:'CT (CTR)'!$P$199),0)</f>
        <v>1.143223801965485</v>
      </c>
      <c r="AD21" s="626">
        <f>IF(AVERAGE('CT (CTR)'!$Q$176:'CT (CTR)'!$Q$199)&lt;&gt;0,'CT (CTR)'!$Q$177/AVERAGE('CT (CTR)'!$Q$176:'CT (CTR)'!$Q$199),0)</f>
        <v>1.4431364572474652</v>
      </c>
      <c r="AE21" s="626">
        <f>IF(AVERAGE('CT (CTR)'!$R$176:'CT (CTR)'!$R$199)&lt;&gt;0,'CT (CTR)'!$R$177/AVERAGE('CT (CTR)'!$R$176:'CT (CTR)'!$R$199),0)</f>
        <v>0.98699425972657373</v>
      </c>
      <c r="AF21" s="626">
        <f>IF(AVERAGE('CT (CTR)'!$S$176:'CT (CTR)'!$S$199)&lt;&gt;0,'CT (CTR)'!$S$177/AVERAGE('CT (CTR)'!$S$176:'CT (CTR)'!$S$199),0)</f>
        <v>1.0786130890614405</v>
      </c>
      <c r="AG21" s="626">
        <f>IF(AVERAGE('CT (CTR)'!$G$244:'CT (CTR)'!$G$267)&lt;&gt;0,'CT (CTR)'!$G$245/AVERAGE('CT (CTR)'!$G$244:'CT (CTR)'!$G$267),0)</f>
        <v>2.8300729516819337E-2</v>
      </c>
      <c r="AH21" s="626">
        <f>IF(AVERAGE('CT (CTR)'!$H$244:'CT (CTR)'!$H$267)&lt;&gt;0,'CT (CTR)'!$H$245/AVERAGE('CT (CTR)'!$H$244:'CT (CTR)'!$H$267),0)</f>
        <v>1.1724249724326423</v>
      </c>
      <c r="AI21" s="626">
        <f>IF(AVERAGE('CT (CTR)'!$I$244:'CT (CTR)'!$I$267)&lt;&gt;0,'CT (CTR)'!$I$245/AVERAGE('CT (CTR)'!$I$244:'CT (CTR)'!$I$267),0)</f>
        <v>0.50942606647479671</v>
      </c>
      <c r="AJ21" s="626">
        <f>IF(AVERAGE('CT (CTR)'!$J$244:'CT (CTR)'!$J$267)&lt;&gt;0,'CT (CTR)'!$J$245/AVERAGE('CT (CTR)'!$J$244:'CT (CTR)'!$J$267),0)</f>
        <v>1.1662970889934641</v>
      </c>
      <c r="AK21" s="626">
        <f>IF(AVERAGE('CT (CTR)'!$K$244:'CT (CTR)'!$K$267)&lt;&gt;0,'CT (CTR)'!$K$245/AVERAGE('CT (CTR)'!$K$244:'CT (CTR)'!$K$267),0)</f>
        <v>0.1161665053242984</v>
      </c>
      <c r="AL21" s="626">
        <f>IF(AVERAGE('CT (CTR)'!$L$244:'CT (CTR)'!$L$267)&lt;&gt;0,'CT (CTR)'!$L$245/AVERAGE('CT (CTR)'!$L$244:'CT (CTR)'!$L$267),0)</f>
        <v>1.0330594209148873</v>
      </c>
      <c r="AM21" s="626">
        <f>IF(AVERAGE('CT (CTR)'!$M$244:'CT (CTR)'!$M$267)&lt;&gt;0,'CT (CTR)'!$M$245/AVERAGE('CT (CTR)'!$M$244:'CT (CTR)'!$M$267),0)</f>
        <v>0.5677536262563817</v>
      </c>
      <c r="AN21" s="626">
        <f>IF(AVERAGE('CT (CTR)'!$N$244:'CT (CTR)'!$N$267)&lt;&gt;0,'CT (CTR)'!$N$245/AVERAGE('CT (CTR)'!$N$244:'CT (CTR)'!$N$267),0)</f>
        <v>1.7659454108329804</v>
      </c>
      <c r="AO21" s="626">
        <f>IF(AVERAGE('CT (CTR)'!$O$244:'CT (CTR)'!$O$267)&lt;&gt;0,'CT (CTR)'!$O$245/AVERAGE('CT (CTR)'!$O$244:'CT (CTR)'!$O$267),0)</f>
        <v>1.826658769113529</v>
      </c>
    </row>
    <row r="22" spans="1:41" x14ac:dyDescent="0.25">
      <c r="A22" s="625">
        <v>21</v>
      </c>
      <c r="B22" s="626">
        <f>IF(AVERAGE('CT (CTR)'!$G$6:'CT (CTR)'!$G$29)&lt;&gt;0,'CT (CTR)'!$G$8/AVERAGE('CT (CTR)'!$G$6:'CT (CTR)'!$G$29),0)</f>
        <v>2.0625410015307222</v>
      </c>
      <c r="C22" s="626">
        <f>IF(AVERAGE('CT (CTR)'!$G$40:'CT (CTR)'!$G$63)&lt;&gt;0,'CT (CTR)'!$G$42/AVERAGE('CT (CTR)'!$G$40:'CT (CTR)'!$G$63),0)</f>
        <v>0.35618197466437446</v>
      </c>
      <c r="D22" s="626">
        <f>IF(AVERAGE('CT (CTR)'!$H$40:'CT (CTR)'!$H$63)&lt;&gt;0,'CT (CTR)'!$H$42/AVERAGE('CT (CTR)'!$H$40:'CT (CTR)'!$H$63),0)</f>
        <v>0.84198094555193925</v>
      </c>
      <c r="E22" s="626">
        <f>IF(AVERAGE('CT (CTR)'!$I$40:'CT (CTR)'!$I$63)&lt;&gt;0,'CT (CTR)'!$I$42/AVERAGE('CT (CTR)'!$I$40:'CT (CTR)'!$I$63),0)</f>
        <v>0.26043279514435552</v>
      </c>
      <c r="F22" s="626">
        <f>IF(AVERAGE('CT (CTR)'!$J$40:'CT (CTR)'!$J$63)&lt;&gt;0,'CT (CTR)'!$J$42/AVERAGE('CT (CTR)'!$J$40:'CT (CTR)'!$J$63),0)</f>
        <v>0.53400546676090088</v>
      </c>
      <c r="G22" s="626">
        <f>IF(AVERAGE('CT (CTR)'!$K$40:'CT (CTR)'!$K$63)&lt;&gt;0,'CT (CTR)'!$K$42/AVERAGE('CT (CTR)'!$K$40:'CT (CTR)'!$K$63),0)</f>
        <v>1.3061745919091565</v>
      </c>
      <c r="H22" s="626">
        <f>IF(AVERAGE('CT (CTR)'!$L$40:'CT (CTR)'!$L$63)&lt;&gt;0,'CT (CTR)'!$L$42/AVERAGE('CT (CTR)'!$L$40:'CT (CTR)'!$L$63),0)</f>
        <v>1.4938949472275116</v>
      </c>
      <c r="I22" s="626">
        <f>IF(AVERAGE('CT (CTR)'!$M$40:'CT (CTR)'!$M$63)&lt;&gt;0,'CT (CTR)'!$M$42/AVERAGE('CT (CTR)'!$M$40:'CT (CTR)'!$M$63),0)</f>
        <v>1.1064574068798052</v>
      </c>
      <c r="J22" s="626">
        <f>IF(AVERAGE('CT (CTR)'!$N$40:'CT (CTR)'!$N$63)&lt;&gt;0,'CT (CTR)'!$N$42/AVERAGE('CT (CTR)'!$N$40:'CT (CTR)'!$N$63),0)</f>
        <v>2.2301160738059762</v>
      </c>
      <c r="K22" s="626">
        <f>IF(AVERAGE('CT (CTR)'!$O$40:'CT (CTR)'!$O$63)&lt;&gt;0,'CT (CTR)'!$O$42/AVERAGE('CT (CTR)'!$O$40:'CT (CTR)'!$O$63),0)</f>
        <v>1.8920875668010755</v>
      </c>
      <c r="L22" s="626">
        <f>IF(AVERAGE('CT (CTR)'!$P$40:'CT (CTR)'!$P$63)&lt;&gt;0,'CT (CTR)'!$P$42/AVERAGE('CT (CTR)'!$P$40:'CT (CTR)'!$P$63),0)</f>
        <v>0.60589168996905407</v>
      </c>
      <c r="M22" s="626">
        <f>IF(AVERAGE('CT (CTR)'!$Q$40:'CT (CTR)'!$Q$63)&lt;&gt;0,'CT (CTR)'!$Q$42/AVERAGE('CT (CTR)'!$Q$40:'CT (CTR)'!$Q$63),0)</f>
        <v>0.54549159449821683</v>
      </c>
      <c r="N22" s="626">
        <f>IF(AVERAGE('CT (CTR)'!$R$40:'CT (CTR)'!$R$63)&lt;&gt;0,'CT (CTR)'!$R$42/AVERAGE('CT (CTR)'!$R$40:'CT (CTR)'!$R$63),0)</f>
        <v>1.4870827906615105</v>
      </c>
      <c r="O22" s="626">
        <f>IF(AVERAGE('CT (CTR)'!$S$40:'CT (CTR)'!$S$63)&lt;&gt;0,'CT (CTR)'!$S$42/AVERAGE('CT (CTR)'!$S$40:'CT (CTR)'!$S$63),0)</f>
        <v>1.5654959169111184</v>
      </c>
      <c r="P22" s="626">
        <f>IF(AVERAGE('CT (CTR)'!$T$40:'CT (CTR)'!$T$63)&lt;&gt;0,'CT (CTR)'!$T$42/AVERAGE('CT (CTR)'!$T$40:'CT (CTR)'!$T$63),0)</f>
        <v>0.85286351432311935</v>
      </c>
      <c r="Q22" s="626">
        <f>IF(AVERAGE('CT (CTR)'!$G$142:'CT (CTR)'!$G$165)&lt;&gt;0,'CT (CTR)'!$G$144/AVERAGE('CT (CTR)'!$G$142:'CT (CTR)'!$G$165),0)</f>
        <v>1.9090192874441969</v>
      </c>
      <c r="R22" s="626">
        <f>IF(AVERAGE('CT (CTR)'!$H$142:'CT (CTR)'!$H$165)&lt;&gt;0,'CT (CTR)'!$H$144/AVERAGE('CT (CTR)'!$H$142:'CT (CTR)'!$H$165),0)</f>
        <v>0.38951670998826371</v>
      </c>
      <c r="S22" s="626">
        <f>IF(AVERAGE('CT (CTR)'!$I$142:'CT (CTR)'!$I$165)&lt;&gt;0,'CT (CTR)'!$I$144/AVERAGE('CT (CTR)'!$I$142:'CT (CTR)'!$I$165),0)</f>
        <v>1.0567497642478909</v>
      </c>
      <c r="T22" s="626">
        <f>IF(AVERAGE('CT (CTR)'!$G$176:'CT (CTR)'!$G$199)&lt;&gt;0,'CT (CTR)'!$G$178/AVERAGE('CT (CTR)'!$G$176:'CT (CTR)'!$G$199),0)</f>
        <v>2.6277714213641552</v>
      </c>
      <c r="U22" s="626">
        <f>IF(AVERAGE('CT (CTR)'!$H$176:'CT (CTR)'!$H$199)&lt;&gt;0,'CT (CTR)'!$H$178/AVERAGE('CT (CTR)'!$H$176:'CT (CTR)'!$H$199),0)</f>
        <v>0.37067091965326121</v>
      </c>
      <c r="V22" s="626">
        <f>IF(AVERAGE('CT (CTR)'!$I$176:'CT (CTR)'!$I$199)&lt;&gt;0,'CT (CTR)'!$I$178/AVERAGE('CT (CTR)'!$I$176:'CT (CTR)'!$I$199),0)</f>
        <v>1.663817962564887</v>
      </c>
      <c r="W22" s="626">
        <f>IF(AVERAGE('CT (CTR)'!$J$176:'CT (CTR)'!$J$199)&lt;&gt;0,'CT (CTR)'!$J$178/AVERAGE('CT (CTR)'!$J$176:'CT (CTR)'!$J$199),0)</f>
        <v>2.3734492210040417</v>
      </c>
      <c r="X22" s="626">
        <f>IF(AVERAGE('CT (CTR)'!$K$176:'CT (CTR)'!$K$199)&lt;&gt;0,'CT (CTR)'!$K$178/AVERAGE('CT (CTR)'!$K$176:'CT (CTR)'!$K$199),0)</f>
        <v>2.0801822774778334</v>
      </c>
      <c r="Y22" s="626">
        <f>IF(AVERAGE('CT (CTR)'!$L$176:'CT (CTR)'!$L$199)&lt;&gt;0,'CT (CTR)'!$L$178/AVERAGE('CT (CTR)'!$L$176:'CT (CTR)'!$L$199),0)</f>
        <v>1.6793919502504746</v>
      </c>
      <c r="Z22" s="626">
        <f>IF(AVERAGE('CT (CTR)'!$M$176:'CT (CTR)'!$M$199)&lt;&gt;0,'CT (CTR)'!$M$178/AVERAGE('CT (CTR)'!$M$176:'CT (CTR)'!$M$199),0)</f>
        <v>1.8496846116933578</v>
      </c>
      <c r="AA22" s="626">
        <f>IF(AVERAGE('CT (CTR)'!$N$176:'CT (CTR)'!$N$199)&lt;&gt;0,'CT (CTR)'!$N$178/AVERAGE('CT (CTR)'!$N$176:'CT (CTR)'!$N$199),0)</f>
        <v>1.622132064913262</v>
      </c>
      <c r="AB22" s="626">
        <f>IF(AVERAGE('CT (CTR)'!$O$176:'CT (CTR)'!$O$199)&lt;&gt;0,'CT (CTR)'!$O$178/AVERAGE('CT (CTR)'!$O$176:'CT (CTR)'!$O$199),0)</f>
        <v>0.9518796992481211</v>
      </c>
      <c r="AC22" s="626">
        <f>IF(AVERAGE('CT (CTR)'!$P$176:'CT (CTR)'!$P$199)&lt;&gt;0,'CT (CTR)'!$P$178/AVERAGE('CT (CTR)'!$P$176:'CT (CTR)'!$P$199),0)</f>
        <v>1.0463679038195259</v>
      </c>
      <c r="AD22" s="626">
        <f>IF(AVERAGE('CT (CTR)'!$Q$176:'CT (CTR)'!$Q$199)&lt;&gt;0,'CT (CTR)'!$Q$178/AVERAGE('CT (CTR)'!$Q$176:'CT (CTR)'!$Q$199),0)</f>
        <v>1.5383285449136812</v>
      </c>
      <c r="AE22" s="626">
        <f>IF(AVERAGE('CT (CTR)'!$R$176:'CT (CTR)'!$R$199)&lt;&gt;0,'CT (CTR)'!$R$178/AVERAGE('CT (CTR)'!$R$176:'CT (CTR)'!$R$199),0)</f>
        <v>0.99231857130972478</v>
      </c>
      <c r="AF22" s="626">
        <f>IF(AVERAGE('CT (CTR)'!$S$176:'CT (CTR)'!$S$199)&lt;&gt;0,'CT (CTR)'!$S$178/AVERAGE('CT (CTR)'!$S$176:'CT (CTR)'!$S$199),0)</f>
        <v>1.1705013060435816</v>
      </c>
      <c r="AG22" s="626">
        <f>IF(AVERAGE('CT (CTR)'!$G$244:'CT (CTR)'!$G$267)&lt;&gt;0,'CT (CTR)'!$G$246/AVERAGE('CT (CTR)'!$G$244:'CT (CTR)'!$G$267),0)</f>
        <v>2.9808420453883502E-2</v>
      </c>
      <c r="AH22" s="626">
        <f>IF(AVERAGE('CT (CTR)'!$H$244:'CT (CTR)'!$H$267)&lt;&gt;0,'CT (CTR)'!$H$246/AVERAGE('CT (CTR)'!$H$244:'CT (CTR)'!$H$267),0)</f>
        <v>1.0691286182093316</v>
      </c>
      <c r="AI22" s="626">
        <f>IF(AVERAGE('CT (CTR)'!$I$244:'CT (CTR)'!$I$267)&lt;&gt;0,'CT (CTR)'!$I$246/AVERAGE('CT (CTR)'!$I$244:'CT (CTR)'!$I$267),0)</f>
        <v>0.44688475306984132</v>
      </c>
      <c r="AJ22" s="626">
        <f>IF(AVERAGE('CT (CTR)'!$J$244:'CT (CTR)'!$J$267)&lt;&gt;0,'CT (CTR)'!$J$246/AVERAGE('CT (CTR)'!$J$244:'CT (CTR)'!$J$267),0)</f>
        <v>0.82588330002869648</v>
      </c>
      <c r="AK22" s="626">
        <f>IF(AVERAGE('CT (CTR)'!$K$244:'CT (CTR)'!$K$267)&lt;&gt;0,'CT (CTR)'!$K$246/AVERAGE('CT (CTR)'!$K$244:'CT (CTR)'!$K$267),0)</f>
        <v>0.23897109666712729</v>
      </c>
      <c r="AL22" s="626">
        <f>IF(AVERAGE('CT (CTR)'!$L$244:'CT (CTR)'!$L$267)&lt;&gt;0,'CT (CTR)'!$L$246/AVERAGE('CT (CTR)'!$L$244:'CT (CTR)'!$L$267),0)</f>
        <v>0.99133292864942824</v>
      </c>
      <c r="AM22" s="626">
        <f>IF(AVERAGE('CT (CTR)'!$M$244:'CT (CTR)'!$M$267)&lt;&gt;0,'CT (CTR)'!$M$246/AVERAGE('CT (CTR)'!$M$244:'CT (CTR)'!$M$267),0)</f>
        <v>0.6235382778563382</v>
      </c>
      <c r="AN22" s="626">
        <f>IF(AVERAGE('CT (CTR)'!$N$244:'CT (CTR)'!$N$267)&lt;&gt;0,'CT (CTR)'!$N$246/AVERAGE('CT (CTR)'!$N$244:'CT (CTR)'!$N$267),0)</f>
        <v>1.5906889979864101</v>
      </c>
      <c r="AO22" s="626">
        <f>IF(AVERAGE('CT (CTR)'!$O$244:'CT (CTR)'!$O$267)&lt;&gt;0,'CT (CTR)'!$O$246/AVERAGE('CT (CTR)'!$O$244:'CT (CTR)'!$O$267),0)</f>
        <v>1.1059190148682789</v>
      </c>
    </row>
    <row r="23" spans="1:41" x14ac:dyDescent="0.25">
      <c r="A23" s="625">
        <v>22</v>
      </c>
      <c r="B23" s="626">
        <f>IF(AVERAGE('CT (CTR)'!$G$6:'CT (CTR)'!$G$29)&lt;&gt;0,'CT (CTR)'!$G$9/AVERAGE('CT (CTR)'!$G$6:'CT (CTR)'!$G$29),0)</f>
        <v>2.0625410015307222</v>
      </c>
      <c r="C23" s="626">
        <f>IF(AVERAGE('CT (CTR)'!$G$40:'CT (CTR)'!$G$63)&lt;&gt;0,'CT (CTR)'!$G$43/AVERAGE('CT (CTR)'!$G$40:'CT (CTR)'!$G$63),0)</f>
        <v>0.34529206617473379</v>
      </c>
      <c r="D23" s="626">
        <f>IF(AVERAGE('CT (CTR)'!$H$40:'CT (CTR)'!$H$63)&lt;&gt;0,'CT (CTR)'!$H$43/AVERAGE('CT (CTR)'!$H$40:'CT (CTR)'!$H$63),0)</f>
        <v>0.75396141658802052</v>
      </c>
      <c r="E23" s="626">
        <f>IF(AVERAGE('CT (CTR)'!$I$40:'CT (CTR)'!$I$63)&lt;&gt;0,'CT (CTR)'!$I$43/AVERAGE('CT (CTR)'!$I$40:'CT (CTR)'!$I$63),0)</f>
        <v>0.21751376236441217</v>
      </c>
      <c r="F23" s="626">
        <f>IF(AVERAGE('CT (CTR)'!$J$40:'CT (CTR)'!$J$63)&lt;&gt;0,'CT (CTR)'!$J$43/AVERAGE('CT (CTR)'!$J$40:'CT (CTR)'!$J$63),0)</f>
        <v>0.52269727598627203</v>
      </c>
      <c r="G23" s="626">
        <f>IF(AVERAGE('CT (CTR)'!$K$40:'CT (CTR)'!$K$63)&lt;&gt;0,'CT (CTR)'!$K$43/AVERAGE('CT (CTR)'!$K$40:'CT (CTR)'!$K$63),0)</f>
        <v>1.3122782114975149</v>
      </c>
      <c r="H23" s="626">
        <f>IF(AVERAGE('CT (CTR)'!$L$40:'CT (CTR)'!$L$63)&lt;&gt;0,'CT (CTR)'!$L$43/AVERAGE('CT (CTR)'!$L$40:'CT (CTR)'!$L$63),0)</f>
        <v>1.4524152666404395</v>
      </c>
      <c r="I23" s="626">
        <f>IF(AVERAGE('CT (CTR)'!$M$40:'CT (CTR)'!$M$63)&lt;&gt;0,'CT (CTR)'!$M$43/AVERAGE('CT (CTR)'!$M$40:'CT (CTR)'!$M$63),0)</f>
        <v>1.0207187008386092</v>
      </c>
      <c r="J23" s="626">
        <f>IF(AVERAGE('CT (CTR)'!$N$40:'CT (CTR)'!$N$63)&lt;&gt;0,'CT (CTR)'!$N$43/AVERAGE('CT (CTR)'!$N$40:'CT (CTR)'!$N$63),0)</f>
        <v>2.1209652764765652</v>
      </c>
      <c r="K23" s="626">
        <f>IF(AVERAGE('CT (CTR)'!$O$40:'CT (CTR)'!$O$63)&lt;&gt;0,'CT (CTR)'!$O$43/AVERAGE('CT (CTR)'!$O$40:'CT (CTR)'!$O$63),0)</f>
        <v>2.2929033910428034</v>
      </c>
      <c r="L23" s="626">
        <f>IF(AVERAGE('CT (CTR)'!$P$40:'CT (CTR)'!$P$63)&lt;&gt;0,'CT (CTR)'!$P$43/AVERAGE('CT (CTR)'!$P$40:'CT (CTR)'!$P$63),0)</f>
        <v>2.3199700597854945E-3</v>
      </c>
      <c r="M23" s="626">
        <f>IF(AVERAGE('CT (CTR)'!$Q$40:'CT (CTR)'!$Q$63)&lt;&gt;0,'CT (CTR)'!$Q$43/AVERAGE('CT (CTR)'!$Q$40:'CT (CTR)'!$Q$63),0)</f>
        <v>0.43423331635252205</v>
      </c>
      <c r="N23" s="626">
        <f>IF(AVERAGE('CT (CTR)'!$R$40:'CT (CTR)'!$R$63)&lt;&gt;0,'CT (CTR)'!$R$43/AVERAGE('CT (CTR)'!$R$40:'CT (CTR)'!$R$63),0)</f>
        <v>1.2020294306319623</v>
      </c>
      <c r="O23" s="626">
        <f>IF(AVERAGE('CT (CTR)'!$S$40:'CT (CTR)'!$S$63)&lt;&gt;0,'CT (CTR)'!$S$43/AVERAGE('CT (CTR)'!$S$40:'CT (CTR)'!$S$63),0)</f>
        <v>0.52656782684531855</v>
      </c>
      <c r="P23" s="626">
        <f>IF(AVERAGE('CT (CTR)'!$T$40:'CT (CTR)'!$T$63)&lt;&gt;0,'CT (CTR)'!$T$43/AVERAGE('CT (CTR)'!$T$40:'CT (CTR)'!$T$63),0)</f>
        <v>0.61827945059577827</v>
      </c>
      <c r="Q23" s="626">
        <f>IF(AVERAGE('CT (CTR)'!$G$142:'CT (CTR)'!$G$165)&lt;&gt;0,'CT (CTR)'!$G$145/AVERAGE('CT (CTR)'!$G$142:'CT (CTR)'!$G$165),0)</f>
        <v>2.0966998336786205</v>
      </c>
      <c r="R23" s="626">
        <f>IF(AVERAGE('CT (CTR)'!$H$142:'CT (CTR)'!$H$165)&lt;&gt;0,'CT (CTR)'!$H$145/AVERAGE('CT (CTR)'!$H$142:'CT (CTR)'!$H$165),0)</f>
        <v>1.0646790073012509</v>
      </c>
      <c r="S23" s="626">
        <f>IF(AVERAGE('CT (CTR)'!$I$142:'CT (CTR)'!$I$165)&lt;&gt;0,'CT (CTR)'!$I$145/AVERAGE('CT (CTR)'!$I$142:'CT (CTR)'!$I$165),0)</f>
        <v>1.1054960466184698</v>
      </c>
      <c r="T23" s="626">
        <f>IF(AVERAGE('CT (CTR)'!$G$176:'CT (CTR)'!$G$199)&lt;&gt;0,'CT (CTR)'!$G$179/AVERAGE('CT (CTR)'!$G$176:'CT (CTR)'!$G$199),0)</f>
        <v>1.6436184109766765</v>
      </c>
      <c r="U23" s="626">
        <f>IF(AVERAGE('CT (CTR)'!$H$176:'CT (CTR)'!$H$199)&lt;&gt;0,'CT (CTR)'!$H$179/AVERAGE('CT (CTR)'!$H$176:'CT (CTR)'!$H$199),0)</f>
        <v>0.33596390470445342</v>
      </c>
      <c r="V23" s="626">
        <f>IF(AVERAGE('CT (CTR)'!$I$176:'CT (CTR)'!$I$199)&lt;&gt;0,'CT (CTR)'!$I$179/AVERAGE('CT (CTR)'!$I$176:'CT (CTR)'!$I$199),0)</f>
        <v>1.1511560845173807</v>
      </c>
      <c r="W23" s="626">
        <f>IF(AVERAGE('CT (CTR)'!$J$176:'CT (CTR)'!$J$199)&lt;&gt;0,'CT (CTR)'!$J$179/AVERAGE('CT (CTR)'!$J$176:'CT (CTR)'!$J$199),0)</f>
        <v>1.7801139642238868</v>
      </c>
      <c r="X23" s="626">
        <f>IF(AVERAGE('CT (CTR)'!$K$176:'CT (CTR)'!$K$199)&lt;&gt;0,'CT (CTR)'!$K$179/AVERAGE('CT (CTR)'!$K$176:'CT (CTR)'!$K$199),0)</f>
        <v>1.5516568428352082</v>
      </c>
      <c r="Y23" s="626">
        <f>IF(AVERAGE('CT (CTR)'!$L$176:'CT (CTR)'!$L$199)&lt;&gt;0,'CT (CTR)'!$L$179/AVERAGE('CT (CTR)'!$L$176:'CT (CTR)'!$L$199),0)</f>
        <v>1.0606322335463818</v>
      </c>
      <c r="Z23" s="626">
        <f>IF(AVERAGE('CT (CTR)'!$M$176:'CT (CTR)'!$M$199)&lt;&gt;0,'CT (CTR)'!$M$179/AVERAGE('CT (CTR)'!$M$176:'CT (CTR)'!$M$199),0)</f>
        <v>2.4717541431661232</v>
      </c>
      <c r="AA23" s="626">
        <f>IF(AVERAGE('CT (CTR)'!$N$176:'CT (CTR)'!$N$199)&lt;&gt;0,'CT (CTR)'!$N$179/AVERAGE('CT (CTR)'!$N$176:'CT (CTR)'!$N$199),0)</f>
        <v>1.9759373251259087</v>
      </c>
      <c r="AB23" s="626">
        <f>IF(AVERAGE('CT (CTR)'!$O$176:'CT (CTR)'!$O$199)&lt;&gt;0,'CT (CTR)'!$O$179/AVERAGE('CT (CTR)'!$O$176:'CT (CTR)'!$O$199),0)</f>
        <v>0.84688995215311114</v>
      </c>
      <c r="AC23" s="626">
        <f>IF(AVERAGE('CT (CTR)'!$P$176:'CT (CTR)'!$P$199)&lt;&gt;0,'CT (CTR)'!$P$179/AVERAGE('CT (CTR)'!$P$176:'CT (CTR)'!$P$199),0)</f>
        <v>1.2510215798183124</v>
      </c>
      <c r="AD23" s="626">
        <f>IF(AVERAGE('CT (CTR)'!$Q$176:'CT (CTR)'!$Q$199)&lt;&gt;0,'CT (CTR)'!$Q$179/AVERAGE('CT (CTR)'!$Q$176:'CT (CTR)'!$Q$199),0)</f>
        <v>1.5456510131957009</v>
      </c>
      <c r="AE23" s="626">
        <f>IF(AVERAGE('CT (CTR)'!$R$176:'CT (CTR)'!$R$199)&lt;&gt;0,'CT (CTR)'!$R$179/AVERAGE('CT (CTR)'!$R$176:'CT (CTR)'!$R$199),0)</f>
        <v>0.9157815923019299</v>
      </c>
      <c r="AF23" s="626">
        <f>IF(AVERAGE('CT (CTR)'!$S$176:'CT (CTR)'!$S$199)&lt;&gt;0,'CT (CTR)'!$S$179/AVERAGE('CT (CTR)'!$S$176:'CT (CTR)'!$S$199),0)</f>
        <v>1.0116291551866006</v>
      </c>
      <c r="AG23" s="626">
        <f>IF(AVERAGE('CT (CTR)'!$G$244:'CT (CTR)'!$G$267)&lt;&gt;0,'CT (CTR)'!$G$247/AVERAGE('CT (CTR)'!$G$244:'CT (CTR)'!$G$267),0)</f>
        <v>0.86971974081421899</v>
      </c>
      <c r="AH23" s="626">
        <f>IF(AVERAGE('CT (CTR)'!$H$244:'CT (CTR)'!$H$267)&lt;&gt;0,'CT (CTR)'!$H$247/AVERAGE('CT (CTR)'!$H$244:'CT (CTR)'!$H$267),0)</f>
        <v>1.0242711551348018</v>
      </c>
      <c r="AI23" s="626">
        <f>IF(AVERAGE('CT (CTR)'!$I$244:'CT (CTR)'!$I$267)&lt;&gt;0,'CT (CTR)'!$I$247/AVERAGE('CT (CTR)'!$I$244:'CT (CTR)'!$I$267),0)</f>
        <v>0.43824246090621255</v>
      </c>
      <c r="AJ23" s="626">
        <f>IF(AVERAGE('CT (CTR)'!$J$244:'CT (CTR)'!$J$267)&lt;&gt;0,'CT (CTR)'!$J$247/AVERAGE('CT (CTR)'!$J$244:'CT (CTR)'!$J$267),0)</f>
        <v>0.72881995203938343</v>
      </c>
      <c r="AK23" s="626">
        <f>IF(AVERAGE('CT (CTR)'!$K$244:'CT (CTR)'!$K$267)&lt;&gt;0,'CT (CTR)'!$K$247/AVERAGE('CT (CTR)'!$K$244:'CT (CTR)'!$K$267),0)</f>
        <v>0.77997510717743135</v>
      </c>
      <c r="AL23" s="626">
        <f>IF(AVERAGE('CT (CTR)'!$L$244:'CT (CTR)'!$L$267)&lt;&gt;0,'CT (CTR)'!$L$247/AVERAGE('CT (CTR)'!$L$244:'CT (CTR)'!$L$267),0)</f>
        <v>0.96678643522451491</v>
      </c>
      <c r="AM23" s="626">
        <f>IF(AVERAGE('CT (CTR)'!$M$244:'CT (CTR)'!$M$267)&lt;&gt;0,'CT (CTR)'!$M$247/AVERAGE('CT (CTR)'!$M$244:'CT (CTR)'!$M$267),0)</f>
        <v>0.64706131400459088</v>
      </c>
      <c r="AN23" s="626">
        <f>IF(AVERAGE('CT (CTR)'!$N$244:'CT (CTR)'!$N$267)&lt;&gt;0,'CT (CTR)'!$N$247/AVERAGE('CT (CTR)'!$N$244:'CT (CTR)'!$N$267),0)</f>
        <v>1.3021294219851709</v>
      </c>
      <c r="AO23" s="626">
        <f>IF(AVERAGE('CT (CTR)'!$O$244:'CT (CTR)'!$O$267)&lt;&gt;0,'CT (CTR)'!$O$247/AVERAGE('CT (CTR)'!$O$244:'CT (CTR)'!$O$267),0)</f>
        <v>1.0719645666469206</v>
      </c>
    </row>
    <row r="24" spans="1:41" x14ac:dyDescent="0.25">
      <c r="A24" s="625">
        <v>23</v>
      </c>
      <c r="B24" s="626">
        <f>IF(AVERAGE('CT (CTR)'!$G$6:'CT (CTR)'!$G$29)&lt;&gt;0,'CT (CTR)'!$G$10/AVERAGE('CT (CTR)'!$G$6:'CT (CTR)'!$G$29),0)</f>
        <v>2.0625410015307222</v>
      </c>
      <c r="C24" s="626">
        <f>IF(AVERAGE('CT (CTR)'!$G$40:'CT (CTR)'!$G$63)&lt;&gt;0,'CT (CTR)'!$G$44/AVERAGE('CT (CTR)'!$G$40:'CT (CTR)'!$G$63),0)</f>
        <v>0.33105321808505456</v>
      </c>
      <c r="D24" s="626">
        <f>IF(AVERAGE('CT (CTR)'!$H$40:'CT (CTR)'!$H$63)&lt;&gt;0,'CT (CTR)'!$H$44/AVERAGE('CT (CTR)'!$H$40:'CT (CTR)'!$H$63),0)</f>
        <v>0.7452556322396614</v>
      </c>
      <c r="E24" s="626">
        <f>IF(AVERAGE('CT (CTR)'!$I$40:'CT (CTR)'!$I$63)&lt;&gt;0,'CT (CTR)'!$I$44/AVERAGE('CT (CTR)'!$I$40:'CT (CTR)'!$I$63),0)</f>
        <v>0.21326615924168543</v>
      </c>
      <c r="F24" s="626">
        <f>IF(AVERAGE('CT (CTR)'!$J$40:'CT (CTR)'!$J$63)&lt;&gt;0,'CT (CTR)'!$J$44/AVERAGE('CT (CTR)'!$J$40:'CT (CTR)'!$J$63),0)</f>
        <v>0.50954980116998738</v>
      </c>
      <c r="G24" s="626">
        <f>IF(AVERAGE('CT (CTR)'!$K$40:'CT (CTR)'!$K$63)&lt;&gt;0,'CT (CTR)'!$K$44/AVERAGE('CT (CTR)'!$K$40:'CT (CTR)'!$K$63),0)</f>
        <v>1.3060042583392486</v>
      </c>
      <c r="H24" s="626">
        <f>IF(AVERAGE('CT (CTR)'!$L$40:'CT (CTR)'!$L$63)&lt;&gt;0,'CT (CTR)'!$L$44/AVERAGE('CT (CTR)'!$L$40:'CT (CTR)'!$L$63),0)</f>
        <v>0.99300654971763047</v>
      </c>
      <c r="I24" s="626">
        <f>IF(AVERAGE('CT (CTR)'!$M$40:'CT (CTR)'!$M$63)&lt;&gt;0,'CT (CTR)'!$M$44/AVERAGE('CT (CTR)'!$M$40:'CT (CTR)'!$M$63),0)</f>
        <v>0.92873688513421426</v>
      </c>
      <c r="J24" s="626">
        <f>IF(AVERAGE('CT (CTR)'!$N$40:'CT (CTR)'!$N$63)&lt;&gt;0,'CT (CTR)'!$N$44/AVERAGE('CT (CTR)'!$N$40:'CT (CTR)'!$N$63),0)</f>
        <v>1.770751767734045</v>
      </c>
      <c r="K24" s="626">
        <f>IF(AVERAGE('CT (CTR)'!$O$40:'CT (CTR)'!$O$63)&lt;&gt;0,'CT (CTR)'!$O$44/AVERAGE('CT (CTR)'!$O$40:'CT (CTR)'!$O$63),0)</f>
        <v>2.0847370278635844</v>
      </c>
      <c r="L24" s="626">
        <f>IF(AVERAGE('CT (CTR)'!$P$40:'CT (CTR)'!$P$63)&lt;&gt;0,'CT (CTR)'!$P$44/AVERAGE('CT (CTR)'!$P$40:'CT (CTR)'!$P$63),0)</f>
        <v>5.8002683709275468E-4</v>
      </c>
      <c r="M24" s="626">
        <f>IF(AVERAGE('CT (CTR)'!$Q$40:'CT (CTR)'!$Q$63)&lt;&gt;0,'CT (CTR)'!$Q$44/AVERAGE('CT (CTR)'!$Q$40:'CT (CTR)'!$Q$63),0)</f>
        <v>0.42954661232806951</v>
      </c>
      <c r="N24" s="626">
        <f>IF(AVERAGE('CT (CTR)'!$R$40:'CT (CTR)'!$R$63)&lt;&gt;0,'CT (CTR)'!$R$44/AVERAGE('CT (CTR)'!$R$40:'CT (CTR)'!$R$63),0)</f>
        <v>1.051338374511595</v>
      </c>
      <c r="O24" s="626">
        <f>IF(AVERAGE('CT (CTR)'!$S$40:'CT (CTR)'!$S$63)&lt;&gt;0,'CT (CTR)'!$S$44/AVERAGE('CT (CTR)'!$S$40:'CT (CTR)'!$S$63),0)</f>
        <v>0.61815587092682123</v>
      </c>
      <c r="P24" s="626">
        <f>IF(AVERAGE('CT (CTR)'!$T$40:'CT (CTR)'!$T$63)&lt;&gt;0,'CT (CTR)'!$T$44/AVERAGE('CT (CTR)'!$T$40:'CT (CTR)'!$T$63),0)</f>
        <v>0.57008454079481763</v>
      </c>
      <c r="Q24" s="626">
        <f>IF(AVERAGE('CT (CTR)'!$G$142:'CT (CTR)'!$G$165)&lt;&gt;0,'CT (CTR)'!$G$146/AVERAGE('CT (CTR)'!$G$142:'CT (CTR)'!$G$165),0)</f>
        <v>1.0994718566718225</v>
      </c>
      <c r="R24" s="626">
        <f>IF(AVERAGE('CT (CTR)'!$H$142:'CT (CTR)'!$H$165)&lt;&gt;0,'CT (CTR)'!$H$146/AVERAGE('CT (CTR)'!$H$142:'CT (CTR)'!$H$165),0)</f>
        <v>1.2522240898881876</v>
      </c>
      <c r="S24" s="626">
        <f>IF(AVERAGE('CT (CTR)'!$I$142:'CT (CTR)'!$I$165)&lt;&gt;0,'CT (CTR)'!$I$146/AVERAGE('CT (CTR)'!$I$142:'CT (CTR)'!$I$165),0)</f>
        <v>0.84261430954856154</v>
      </c>
      <c r="T24" s="626">
        <f>IF(AVERAGE('CT (CTR)'!$G$176:'CT (CTR)'!$G$199)&lt;&gt;0,'CT (CTR)'!$G$180/AVERAGE('CT (CTR)'!$G$176:'CT (CTR)'!$G$199),0)</f>
        <v>0.94155803205434596</v>
      </c>
      <c r="U24" s="626">
        <f>IF(AVERAGE('CT (CTR)'!$H$176:'CT (CTR)'!$H$199)&lt;&gt;0,'CT (CTR)'!$H$180/AVERAGE('CT (CTR)'!$H$176:'CT (CTR)'!$H$199),0)</f>
        <v>0.32584928891937243</v>
      </c>
      <c r="V24" s="626">
        <f>IF(AVERAGE('CT (CTR)'!$I$176:'CT (CTR)'!$I$199)&lt;&gt;0,'CT (CTR)'!$I$180/AVERAGE('CT (CTR)'!$I$176:'CT (CTR)'!$I$199),0)</f>
        <v>1.0227022492528739</v>
      </c>
      <c r="W24" s="626">
        <f>IF(AVERAGE('CT (CTR)'!$J$176:'CT (CTR)'!$J$199)&lt;&gt;0,'CT (CTR)'!$J$180/AVERAGE('CT (CTR)'!$J$176:'CT (CTR)'!$J$199),0)</f>
        <v>1.4514209463358372</v>
      </c>
      <c r="X24" s="626">
        <f>IF(AVERAGE('CT (CTR)'!$K$176:'CT (CTR)'!$K$199)&lt;&gt;0,'CT (CTR)'!$K$180/AVERAGE('CT (CTR)'!$K$176:'CT (CTR)'!$K$199),0)</f>
        <v>1.0039526474813034</v>
      </c>
      <c r="Y24" s="626">
        <f>IF(AVERAGE('CT (CTR)'!$L$176:'CT (CTR)'!$L$199)&lt;&gt;0,'CT (CTR)'!$L$180/AVERAGE('CT (CTR)'!$L$176:'CT (CTR)'!$L$199),0)</f>
        <v>1.3563655208153385</v>
      </c>
      <c r="Z24" s="626">
        <f>IF(AVERAGE('CT (CTR)'!$M$176:'CT (CTR)'!$M$199)&lt;&gt;0,'CT (CTR)'!$M$180/AVERAGE('CT (CTR)'!$M$176:'CT (CTR)'!$M$199),0)</f>
        <v>3.2762551202787424</v>
      </c>
      <c r="AA24" s="626">
        <f>IF(AVERAGE('CT (CTR)'!$N$176:'CT (CTR)'!$N$199)&lt;&gt;0,'CT (CTR)'!$N$180/AVERAGE('CT (CTR)'!$N$176:'CT (CTR)'!$N$199),0)</f>
        <v>0.93130945719082348</v>
      </c>
      <c r="AB24" s="626">
        <f>IF(AVERAGE('CT (CTR)'!$O$176:'CT (CTR)'!$O$199)&lt;&gt;0,'CT (CTR)'!$O$180/AVERAGE('CT (CTR)'!$O$176:'CT (CTR)'!$O$199),0)</f>
        <v>1.0777853725222151</v>
      </c>
      <c r="AC24" s="626">
        <f>IF(AVERAGE('CT (CTR)'!$P$176:'CT (CTR)'!$P$199)&lt;&gt;0,'CT (CTR)'!$P$180/AVERAGE('CT (CTR)'!$P$176:'CT (CTR)'!$P$199),0)</f>
        <v>0.90898652527776713</v>
      </c>
      <c r="AD24" s="626">
        <f>IF(AVERAGE('CT (CTR)'!$Q$176:'CT (CTR)'!$Q$199)&lt;&gt;0,'CT (CTR)'!$Q$180/AVERAGE('CT (CTR)'!$Q$176:'CT (CTR)'!$Q$199),0)</f>
        <v>1.3906587678930125</v>
      </c>
      <c r="AE24" s="626">
        <f>IF(AVERAGE('CT (CTR)'!$R$176:'CT (CTR)'!$R$199)&lt;&gt;0,'CT (CTR)'!$R$180/AVERAGE('CT (CTR)'!$R$176:'CT (CTR)'!$R$199),0)</f>
        <v>0.79199134799367887</v>
      </c>
      <c r="AF24" s="626">
        <f>IF(AVERAGE('CT (CTR)'!$S$176:'CT (CTR)'!$S$199)&lt;&gt;0,'CT (CTR)'!$S$180/AVERAGE('CT (CTR)'!$S$176:'CT (CTR)'!$S$199),0)</f>
        <v>0.96010305220595893</v>
      </c>
      <c r="AG24" s="626">
        <f>IF(AVERAGE('CT (CTR)'!$G$244:'CT (CTR)'!$G$267)&lt;&gt;0,'CT (CTR)'!$G$248/AVERAGE('CT (CTR)'!$G$244:'CT (CTR)'!$G$267),0)</f>
        <v>1.0418523582227992</v>
      </c>
      <c r="AH24" s="626">
        <f>IF(AVERAGE('CT (CTR)'!$H$244:'CT (CTR)'!$H$267)&lt;&gt;0,'CT (CTR)'!$H$248/AVERAGE('CT (CTR)'!$H$244:'CT (CTR)'!$H$267),0)</f>
        <v>0.92106442194893179</v>
      </c>
      <c r="AI24" s="626">
        <f>IF(AVERAGE('CT (CTR)'!$I$244:'CT (CTR)'!$I$267)&lt;&gt;0,'CT (CTR)'!$I$248/AVERAGE('CT (CTR)'!$I$244:'CT (CTR)'!$I$267),0)</f>
        <v>0.424964121326871</v>
      </c>
      <c r="AJ24" s="626">
        <f>IF(AVERAGE('CT (CTR)'!$J$244:'CT (CTR)'!$J$267)&lt;&gt;0,'CT (CTR)'!$J$248/AVERAGE('CT (CTR)'!$J$244:'CT (CTR)'!$J$267),0)</f>
        <v>0.7064878569575338</v>
      </c>
      <c r="AK24" s="626">
        <f>IF(AVERAGE('CT (CTR)'!$K$244:'CT (CTR)'!$K$267)&lt;&gt;0,'CT (CTR)'!$K$248/AVERAGE('CT (CTR)'!$K$244:'CT (CTR)'!$K$267),0)</f>
        <v>0.77997510717743135</v>
      </c>
      <c r="AL24" s="626">
        <f>IF(AVERAGE('CT (CTR)'!$L$244:'CT (CTR)'!$L$267)&lt;&gt;0,'CT (CTR)'!$L$248/AVERAGE('CT (CTR)'!$L$244:'CT (CTR)'!$L$267),0)</f>
        <v>0.98053784246246578</v>
      </c>
      <c r="AM24" s="626">
        <f>IF(AVERAGE('CT (CTR)'!$M$244:'CT (CTR)'!$M$267)&lt;&gt;0,'CT (CTR)'!$M$248/AVERAGE('CT (CTR)'!$M$244:'CT (CTR)'!$M$267),0)</f>
        <v>0.64477505779147581</v>
      </c>
      <c r="AN24" s="626">
        <f>IF(AVERAGE('CT (CTR)'!$N$244:'CT (CTR)'!$N$267)&lt;&gt;0,'CT (CTR)'!$N$248/AVERAGE('CT (CTR)'!$N$244:'CT (CTR)'!$N$267),0)</f>
        <v>0.84559333562303385</v>
      </c>
      <c r="AO24" s="626">
        <f>IF(AVERAGE('CT (CTR)'!$O$244:'CT (CTR)'!$O$267)&lt;&gt;0,'CT (CTR)'!$O$248/AVERAGE('CT (CTR)'!$O$244:'CT (CTR)'!$O$267),0)</f>
        <v>1.0848219843734075</v>
      </c>
    </row>
    <row r="25" spans="1:41" x14ac:dyDescent="0.25">
      <c r="A25" s="625">
        <v>24</v>
      </c>
      <c r="B25" s="626">
        <f>IF(AVERAGE('CT (CTR)'!$G$6:'CT (CTR)'!$G$29)&lt;&gt;0,'CT (CTR)'!$G$11/AVERAGE('CT (CTR)'!$G$6:'CT (CTR)'!$G$29),0)</f>
        <v>2.0625410015307222</v>
      </c>
      <c r="C25" s="626">
        <f>IF(AVERAGE('CT (CTR)'!$G$40:'CT (CTR)'!$G$63)&lt;&gt;0,'CT (CTR)'!$G$45/AVERAGE('CT (CTR)'!$G$40:'CT (CTR)'!$G$63),0)</f>
        <v>0.31143577003167427</v>
      </c>
      <c r="D25" s="626">
        <f>IF(AVERAGE('CT (CTR)'!$H$40:'CT (CTR)'!$H$63)&lt;&gt;0,'CT (CTR)'!$H$45/AVERAGE('CT (CTR)'!$H$40:'CT (CTR)'!$H$63),0)</f>
        <v>0.58885520412090753</v>
      </c>
      <c r="E25" s="626">
        <f>IF(AVERAGE('CT (CTR)'!$I$40:'CT (CTR)'!$I$63)&lt;&gt;0,'CT (CTR)'!$I$45/AVERAGE('CT (CTR)'!$I$40:'CT (CTR)'!$I$63),0)</f>
        <v>0.16529169697825169</v>
      </c>
      <c r="F25" s="626">
        <f>IF(AVERAGE('CT (CTR)'!$J$40:'CT (CTR)'!$J$63)&lt;&gt;0,'CT (CTR)'!$J$45/AVERAGE('CT (CTR)'!$J$40:'CT (CTR)'!$J$63),0)</f>
        <v>0.49524425862377291</v>
      </c>
      <c r="G25" s="626">
        <f>IF(AVERAGE('CT (CTR)'!$K$40:'CT (CTR)'!$K$63)&lt;&gt;0,'CT (CTR)'!$K$45/AVERAGE('CT (CTR)'!$K$40:'CT (CTR)'!$K$63),0)</f>
        <v>0.96973740241305995</v>
      </c>
      <c r="H25" s="626">
        <f>IF(AVERAGE('CT (CTR)'!$L$40:'CT (CTR)'!$L$63)&lt;&gt;0,'CT (CTR)'!$L$45/AVERAGE('CT (CTR)'!$L$40:'CT (CTR)'!$L$63),0)</f>
        <v>0.44007838033854119</v>
      </c>
      <c r="I25" s="626">
        <f>IF(AVERAGE('CT (CTR)'!$M$40:'CT (CTR)'!$M$63)&lt;&gt;0,'CT (CTR)'!$M$45/AVERAGE('CT (CTR)'!$M$40:'CT (CTR)'!$M$63),0)</f>
        <v>0.94318522464046939</v>
      </c>
      <c r="J25" s="626">
        <f>IF(AVERAGE('CT (CTR)'!$N$40:'CT (CTR)'!$N$63)&lt;&gt;0,'CT (CTR)'!$N$45/AVERAGE('CT (CTR)'!$N$40:'CT (CTR)'!$N$63),0)</f>
        <v>0.97908304651828115</v>
      </c>
      <c r="K25" s="626">
        <f>IF(AVERAGE('CT (CTR)'!$O$40:'CT (CTR)'!$O$63)&lt;&gt;0,'CT (CTR)'!$O$45/AVERAGE('CT (CTR)'!$O$40:'CT (CTR)'!$O$63),0)</f>
        <v>1.9490578354421273</v>
      </c>
      <c r="L25" s="626">
        <f>IF(AVERAGE('CT (CTR)'!$P$40:'CT (CTR)'!$P$63)&lt;&gt;0,'CT (CTR)'!$P$45/AVERAGE('CT (CTR)'!$P$40:'CT (CTR)'!$P$63),0)</f>
        <v>2.3199700597854945E-3</v>
      </c>
      <c r="M25" s="626">
        <f>IF(AVERAGE('CT (CTR)'!$Q$40:'CT (CTR)'!$Q$63)&lt;&gt;0,'CT (CTR)'!$Q$45/AVERAGE('CT (CTR)'!$Q$40:'CT (CTR)'!$Q$63),0)</f>
        <v>0.42893530310748879</v>
      </c>
      <c r="N25" s="626">
        <f>IF(AVERAGE('CT (CTR)'!$R$40:'CT (CTR)'!$R$63)&lt;&gt;0,'CT (CTR)'!$R$45/AVERAGE('CT (CTR)'!$R$40:'CT (CTR)'!$R$63),0)</f>
        <v>0.95943082635149535</v>
      </c>
      <c r="O25" s="626">
        <f>IF(AVERAGE('CT (CTR)'!$S$40:'CT (CTR)'!$S$63)&lt;&gt;0,'CT (CTR)'!$S$45/AVERAGE('CT (CTR)'!$S$40:'CT (CTR)'!$S$63),0)</f>
        <v>0.41252675810671485</v>
      </c>
      <c r="P25" s="626">
        <f>IF(AVERAGE('CT (CTR)'!$T$40:'CT (CTR)'!$T$63)&lt;&gt;0,'CT (CTR)'!$T$45/AVERAGE('CT (CTR)'!$T$40:'CT (CTR)'!$T$63),0)</f>
        <v>0.55703730001996921</v>
      </c>
      <c r="Q25" s="626">
        <f>IF(AVERAGE('CT (CTR)'!$G$142:'CT (CTR)'!$G$165)&lt;&gt;0,'CT (CTR)'!$G$147/AVERAGE('CT (CTR)'!$G$142:'CT (CTR)'!$G$165),0)</f>
        <v>0.75632458930291047</v>
      </c>
      <c r="R25" s="626">
        <f>IF(AVERAGE('CT (CTR)'!$H$142:'CT (CTR)'!$H$165)&lt;&gt;0,'CT (CTR)'!$H$147/AVERAGE('CT (CTR)'!$H$142:'CT (CTR)'!$H$165),0)</f>
        <v>0.33758114865649497</v>
      </c>
      <c r="S25" s="626">
        <f>IF(AVERAGE('CT (CTR)'!$I$142:'CT (CTR)'!$I$165)&lt;&gt;0,'CT (CTR)'!$I$147/AVERAGE('CT (CTR)'!$I$142:'CT (CTR)'!$I$165),0)</f>
        <v>1.198346108276714</v>
      </c>
      <c r="T25" s="626">
        <f>IF(AVERAGE('CT (CTR)'!$G$176:'CT (CTR)'!$G$199)&lt;&gt;0,'CT (CTR)'!$G$181/AVERAGE('CT (CTR)'!$G$176:'CT (CTR)'!$G$199),0)</f>
        <v>0.76116001045054438</v>
      </c>
      <c r="U25" s="626">
        <f>IF(AVERAGE('CT (CTR)'!$H$176:'CT (CTR)'!$H$199)&lt;&gt;0,'CT (CTR)'!$H$181/AVERAGE('CT (CTR)'!$H$176:'CT (CTR)'!$H$199),0)</f>
        <v>0.36729938105823429</v>
      </c>
      <c r="V25" s="626">
        <f>IF(AVERAGE('CT (CTR)'!$I$176:'CT (CTR)'!$I$199)&lt;&gt;0,'CT (CTR)'!$I$181/AVERAGE('CT (CTR)'!$I$176:'CT (CTR)'!$I$199),0)</f>
        <v>0.89676506055680427</v>
      </c>
      <c r="W25" s="626">
        <f>IF(AVERAGE('CT (CTR)'!$J$176:'CT (CTR)'!$J$199)&lt;&gt;0,'CT (CTR)'!$J$181/AVERAGE('CT (CTR)'!$J$176:'CT (CTR)'!$J$199),0)</f>
        <v>0.95491921523370138</v>
      </c>
      <c r="X25" s="626">
        <f>IF(AVERAGE('CT (CTR)'!$K$176:'CT (CTR)'!$K$199)&lt;&gt;0,'CT (CTR)'!$K$181/AVERAGE('CT (CTR)'!$K$176:'CT (CTR)'!$K$199),0)</f>
        <v>0.70699886076576524</v>
      </c>
      <c r="Y25" s="626">
        <f>IF(AVERAGE('CT (CTR)'!$L$176:'CT (CTR)'!$L$199)&lt;&gt;0,'CT (CTR)'!$L$181/AVERAGE('CT (CTR)'!$L$176:'CT (CTR)'!$L$199),0)</f>
        <v>1.4081879426498558</v>
      </c>
      <c r="Z25" s="626">
        <f>IF(AVERAGE('CT (CTR)'!$M$176:'CT (CTR)'!$M$199)&lt;&gt;0,'CT (CTR)'!$M$181/AVERAGE('CT (CTR)'!$M$176:'CT (CTR)'!$M$199),0)</f>
        <v>2.3041775910870612</v>
      </c>
      <c r="AA25" s="626">
        <f>IF(AVERAGE('CT (CTR)'!$N$176:'CT (CTR)'!$N$199)&lt;&gt;0,'CT (CTR)'!$N$181/AVERAGE('CT (CTR)'!$N$176:'CT (CTR)'!$N$199),0)</f>
        <v>0.6060436485730285</v>
      </c>
      <c r="AB25" s="626">
        <f>IF(AVERAGE('CT (CTR)'!$O$176:'CT (CTR)'!$O$199)&lt;&gt;0,'CT (CTR)'!$O$181/AVERAGE('CT (CTR)'!$O$176:'CT (CTR)'!$O$199),0)</f>
        <v>0.9518796992481211</v>
      </c>
      <c r="AC25" s="626">
        <f>IF(AVERAGE('CT (CTR)'!$P$176:'CT (CTR)'!$P$199)&lt;&gt;0,'CT (CTR)'!$P$181/AVERAGE('CT (CTR)'!$P$176:'CT (CTR)'!$P$199),0)</f>
        <v>0.73999527202728577</v>
      </c>
      <c r="AD25" s="626">
        <f>IF(AVERAGE('CT (CTR)'!$Q$176:'CT (CTR)'!$Q$199)&lt;&gt;0,'CT (CTR)'!$Q$181/AVERAGE('CT (CTR)'!$Q$176:'CT (CTR)'!$Q$199),0)</f>
        <v>1.3845567109913277</v>
      </c>
      <c r="AE25" s="626">
        <f>IF(AVERAGE('CT (CTR)'!$R$176:'CT (CTR)'!$R$199)&lt;&gt;0,'CT (CTR)'!$R$181/AVERAGE('CT (CTR)'!$R$176:'CT (CTR)'!$R$199),0)</f>
        <v>0.66354233105016458</v>
      </c>
      <c r="AF25" s="626">
        <f>IF(AVERAGE('CT (CTR)'!$S$176:'CT (CTR)'!$S$199)&lt;&gt;0,'CT (CTR)'!$S$181/AVERAGE('CT (CTR)'!$S$176:'CT (CTR)'!$S$199),0)</f>
        <v>0.96096182058896884</v>
      </c>
      <c r="AG25" s="626">
        <f>IF(AVERAGE('CT (CTR)'!$G$244:'CT (CTR)'!$G$267)&lt;&gt;0,'CT (CTR)'!$G$249/AVERAGE('CT (CTR)'!$G$244:'CT (CTR)'!$G$267),0)</f>
        <v>0.91798001395756235</v>
      </c>
      <c r="AH25" s="626">
        <f>IF(AVERAGE('CT (CTR)'!$H$244:'CT (CTR)'!$H$267)&lt;&gt;0,'CT (CTR)'!$H$249/AVERAGE('CT (CTR)'!$H$244:'CT (CTR)'!$H$267),0)</f>
        <v>0.76996932755557368</v>
      </c>
      <c r="AI25" s="626">
        <f>IF(AVERAGE('CT (CTR)'!$I$244:'CT (CTR)'!$I$267)&lt;&gt;0,'CT (CTR)'!$I$249/AVERAGE('CT (CTR)'!$I$244:'CT (CTR)'!$I$267),0)</f>
        <v>0.43903607588406457</v>
      </c>
      <c r="AJ25" s="626">
        <f>IF(AVERAGE('CT (CTR)'!$J$244:'CT (CTR)'!$J$267)&lt;&gt;0,'CT (CTR)'!$J$249/AVERAGE('CT (CTR)'!$J$244:'CT (CTR)'!$J$267),0)</f>
        <v>0.67361547288578849</v>
      </c>
      <c r="AK25" s="626">
        <f>IF(AVERAGE('CT (CTR)'!$K$244:'CT (CTR)'!$K$267)&lt;&gt;0,'CT (CTR)'!$K$249/AVERAGE('CT (CTR)'!$K$244:'CT (CTR)'!$K$267),0)</f>
        <v>0.77333702115889946</v>
      </c>
      <c r="AL25" s="626">
        <f>IF(AVERAGE('CT (CTR)'!$L$244:'CT (CTR)'!$L$267)&lt;&gt;0,'CT (CTR)'!$L$249/AVERAGE('CT (CTR)'!$L$244:'CT (CTR)'!$L$267),0)</f>
        <v>0.96160071936373859</v>
      </c>
      <c r="AM25" s="626">
        <f>IF(AVERAGE('CT (CTR)'!$M$244:'CT (CTR)'!$M$267)&lt;&gt;0,'CT (CTR)'!$M$249/AVERAGE('CT (CTR)'!$M$244:'CT (CTR)'!$M$267),0)</f>
        <v>0.5984402652057208</v>
      </c>
      <c r="AN25" s="626">
        <f>IF(AVERAGE('CT (CTR)'!$N$244:'CT (CTR)'!$N$267)&lt;&gt;0,'CT (CTR)'!$N$249/AVERAGE('CT (CTR)'!$N$244:'CT (CTR)'!$N$267),0)</f>
        <v>0.64742981056090898</v>
      </c>
      <c r="AO25" s="626">
        <f>IF(AVERAGE('CT (CTR)'!$O$244:'CT (CTR)'!$O$267)&lt;&gt;0,'CT (CTR)'!$O$249/AVERAGE('CT (CTR)'!$O$244:'CT (CTR)'!$O$267),0)</f>
        <v>0.99518224106903896</v>
      </c>
    </row>
    <row r="27" spans="1:41" x14ac:dyDescent="0.25">
      <c r="A27" s="251" t="s">
        <v>672</v>
      </c>
      <c r="B27" s="625" t="s">
        <v>394</v>
      </c>
      <c r="C27" s="625" t="s">
        <v>395</v>
      </c>
      <c r="D27" s="625" t="s">
        <v>396</v>
      </c>
      <c r="E27" s="625" t="s">
        <v>397</v>
      </c>
      <c r="F27" s="625" t="s">
        <v>398</v>
      </c>
      <c r="G27" s="625" t="s">
        <v>399</v>
      </c>
      <c r="H27" s="625" t="s">
        <v>400</v>
      </c>
      <c r="I27" s="625" t="s">
        <v>401</v>
      </c>
      <c r="J27" s="625" t="s">
        <v>402</v>
      </c>
      <c r="K27" s="625" t="s">
        <v>403</v>
      </c>
      <c r="L27" s="625" t="s">
        <v>390</v>
      </c>
      <c r="M27" s="625" t="s">
        <v>391</v>
      </c>
      <c r="N27" s="625" t="s">
        <v>392</v>
      </c>
      <c r="O27" s="625" t="s">
        <v>393</v>
      </c>
      <c r="P27" s="625" t="s">
        <v>404</v>
      </c>
      <c r="Q27" s="625" t="s">
        <v>389</v>
      </c>
    </row>
    <row r="28" spans="1:41" x14ac:dyDescent="0.25">
      <c r="A28" s="625">
        <v>1</v>
      </c>
      <c r="B28" s="626">
        <f>+'Beta (CTR)'!$C$3*B2+'Beta (CTR)'!$C$8*G2+'Beta (CTR)'!$C$21*T2+'Beta (CTR)'!$C$22*U2+'Beta (CTR)'!$C$23*V2+'Beta (CTR)'!$C$24*W2+'Beta (CTR)'!$C$27*Z2+'Beta (CTR)'!$C$28*AA2+'Beta (CTR)'!$C$31*AD2</f>
        <v>1.0419957846951446</v>
      </c>
      <c r="C28" s="626">
        <f>+'Beta (CTR)'!$D$3*B2+'Beta (CTR)'!$D$4*C2+'Beta (CTR)'!$D$5*D2+'Beta (CTR)'!$D$10*I2+'Beta (CTR)'!$D$17*P2+'Beta (CTR)'!$D$21*T2+'Beta (CTR)'!$D$22*U2+'Beta (CTR)'!$D$23*V2+'Beta (CTR)'!$D$24*W2+'Beta (CTR)'!$D$25*X2+'Beta (CTR)'!$D$26*Y2+'Beta (CTR)'!$D$27*Z2+'Beta (CTR)'!$D$29*AB2+'Beta (CTR)'!$D$32*AE2+'Beta (CTR)'!$D$33*AF2</f>
        <v>0.58576778218423242</v>
      </c>
      <c r="D28" s="626">
        <f>+'Beta (CTR)'!$E$3*B2+'Beta (CTR)'!$E$4*C2+'Beta (CTR)'!$E$15*N2+'Beta (CTR)'!$E$16*O2+'Beta (CTR)'!$E$21*T2+'Beta (CTR)'!$E$24*W2+'Beta (CTR)'!$E$25*X2+'Beta (CTR)'!$E$27*Z2+'Beta (CTR)'!$E$28*AA2+'Beta (CTR)'!$E$29*AB2</f>
        <v>0.63498237928068946</v>
      </c>
      <c r="E28" s="626">
        <f>+'Beta (CTR)'!$F$4*C2+'Beta (CTR)'!$F$10*I2+'Beta (CTR)'!$F$16*O2+'Beta (CTR)'!$F$21*T2+'Beta (CTR)'!$F$24*W2+'Beta (CTR)'!$F$25*X2+'Beta (CTR)'!$F$26*Y2+'Beta (CTR)'!$F$27*Z2+'Beta (CTR)'!$F$29*AB2+'Beta (CTR)'!$F$30*AC2</f>
        <v>0.61217813386549946</v>
      </c>
      <c r="F28" s="626">
        <f>+'Beta (CTR)'!$G$3*B2+'Beta (CTR)'!$G$11*J2+'Beta (CTR)'!$G$12*K2+'Beta (CTR)'!$G$21*T2+'Beta (CTR)'!$G$23*V2+'Beta (CTR)'!$G$24*W2+'Beta (CTR)'!$G$28*AA2</f>
        <v>0.92360549837260286</v>
      </c>
      <c r="G28" s="626">
        <f>+'Beta (CTR)'!$H$3*B2+'Beta (CTR)'!$H$5*D2+'Beta (CTR)'!$H$7*F2+'Beta (CTR)'!$H$21*T2+'Beta (CTR)'!$H$23*V2+'Beta (CTR)'!$H$24*W2+'Beta (CTR)'!$H$25*X2+'Beta (CTR)'!$H$27*Z2+'Beta (CTR)'!$H$29*AB2+'Beta (CTR)'!$H$32*AE2+'Beta (CTR)'!$H$33*AF2</f>
        <v>0.77906608349219109</v>
      </c>
      <c r="H28" s="626">
        <f>+'Beta (CTR)'!$I$4*C2+'Beta (CTR)'!$I$6*E2+'Beta (CTR)'!$I$9*H2+'Beta (CTR)'!$I$13*L2+'Beta (CTR)'!$I$14*M2+'Beta (CTR)'!$I$19*R2+'Beta (CTR)'!$I$22*U2+'Beta (CTR)'!$I$25*X2+'Beta (CTR)'!$I$30*AC2</f>
        <v>0.3820079298945262</v>
      </c>
      <c r="I28" s="626">
        <f>+'Beta (CTR)'!$J$16*O2+'Beta (CTR)'!$J$20*S2+'Beta (CTR)'!$J$21*T2+'Beta (CTR)'!$J$23*V2+'Beta (CTR)'!$J$24*W2+'Beta (CTR)'!$J$26*Y2+'Beta (CTR)'!$J$27*Z2+'Beta (CTR)'!$J$30*AC2+'Beta (CTR)'!$J$31*AD2+'Beta (CTR)'!$J$32*AE2</f>
        <v>0.65417303211825639</v>
      </c>
      <c r="J28" s="626">
        <f>+'Beta (CTR)'!$K$3*B2+'Beta (CTR)'!$K$4*C2+'Beta (CTR)'!$K$13*L2+'Beta (CTR)'!$K$15*N2+'Beta (CTR)'!$K$18*Q2+'Beta (CTR)'!$K$22*U2+'Beta (CTR)'!$K$23*V2+'Beta (CTR)'!$K$25*X2+'Beta (CTR)'!$K$27*Z2+'Beta (CTR)'!$K$28*AA2+'Beta (CTR)'!$K$29*AB2+'Beta (CTR)'!$K$30*AC2+'Beta (CTR)'!$K$31*AD2+'Beta (CTR)'!$K$32*AE2</f>
        <v>0.8642984117939746</v>
      </c>
      <c r="K28" s="626">
        <f>+'Beta (CTR)'!$L$3*B2+'Beta (CTR)'!$L$6*E2+'Beta (CTR)'!$L$25*X2+'Beta (CTR)'!$L$27*Z2</f>
        <v>0.35611573546111641</v>
      </c>
      <c r="L28" s="626">
        <f>+'Beta (CTR)'!$M$3*B2+'Beta (CTR)'!$M$4*C2+'Beta (CTR)'!$M$5*D2+'Beta (CTR)'!$M$6*E2+'Beta (CTR)'!$M$7*F2+'Beta (CTR)'!$M$8*G2+'Beta (CTR)'!$M$9*H2+'Beta (CTR)'!$M$10*I2+'Beta (CTR)'!$M$13*L2+'Beta (CTR)'!$M$14*M2+'Beta (CTR)'!$M$15*N2+'Beta (CTR)'!$M$16*O2+'Beta (CTR)'!$M$17*P2+'Beta (CTR)'!$M$18*Q2+'Beta (CTR)'!$M$21*T2+'Beta (CTR)'!$M$22*U2+'Beta (CTR)'!$M$23*V2+'Beta (CTR)'!$M$24*W2+'Beta (CTR)'!$M$25*X2+'Beta (CTR)'!$M$26*Y2+'Beta (CTR)'!$M$27*Z2+'Beta (CTR)'!$M$28*AA2+'Beta (CTR)'!$M$29*AB2+'Beta (CTR)'!$M$30*AC2+'Beta (CTR)'!$M$31*AD2+'Beta (CTR)'!$M$32*AE2+'Beta (CTR)'!$M$33*AF2+'Beta (CTR)'!$M$34*AG2+'Beta (CTR)'!$M$35*AH2+'Beta (CTR)'!$M$36*AI2+'Beta (CTR)'!$M$38*AK2+'Beta (CTR)'!$M$40*AM2</f>
        <v>0.64518459119080418</v>
      </c>
      <c r="M28" s="626">
        <f>+'Beta (CTR)'!$N$3*B2+'Beta (CTR)'!$N$4*C2+'Beta (CTR)'!$N$6*E2+'Beta (CTR)'!$N$8*G2+'Beta (CTR)'!$N$9*H2+'Beta (CTR)'!$N$10*I2+'Beta (CTR)'!$N$13*L2+'Beta (CTR)'!$N$14*M2+'Beta (CTR)'!$N$15*N2+'Beta (CTR)'!$N$16*O2+'Beta (CTR)'!$N$18*Q2+'Beta (CTR)'!$N$19*R2+'Beta (CTR)'!$N$21*T2+'Beta (CTR)'!$N$22*U2+'Beta (CTR)'!$N$23*V2+'Beta (CTR)'!$N$24*W2+'Beta (CTR)'!$N$25*X2+'Beta (CTR)'!$N$26*Y2+'Beta (CTR)'!$N$27*Z2+'Beta (CTR)'!$N$28*AA2+'Beta (CTR)'!$N$29*AB2+'Beta (CTR)'!$N$30*AC2+'Beta (CTR)'!$N$31*AD2+'Beta (CTR)'!$N$32*AE2+'Beta (CTR)'!$N$34*AG2+'Beta (CTR)'!$N$36*AI2+'Beta (CTR)'!$N$42*AO2</f>
        <v>0.68440966290770133</v>
      </c>
      <c r="N28" s="626">
        <f>+'Beta (CTR)'!$O$3*B2+'Beta (CTR)'!$O$5*D2+'Beta (CTR)'!$O$7*F2+'Beta (CTR)'!$O$8*G2+'Beta (CTR)'!$O$21*T2+'Beta (CTR)'!$O$22*U2+'Beta (CTR)'!$O$23*V2+'Beta (CTR)'!$O$24*W2+'Beta (CTR)'!$O$25*X2+'Beta (CTR)'!$O$27*Z2+'Beta (CTR)'!$O$28*AA2+'Beta (CTR)'!$O$29*AB2+'Beta (CTR)'!$O$31*AD2+'Beta (CTR)'!$O$32*AE2+'Beta (CTR)'!$O$33*AF2+'Beta (CTR)'!$O$34*AG2</f>
        <v>0.89687450707193794</v>
      </c>
      <c r="O28" s="626">
        <f>+'Beta (CTR)'!$P$3*B2+'Beta (CTR)'!$P$5*D2+'Beta (CTR)'!$P$7*F2+'Beta (CTR)'!$P$8*G2+'Beta (CTR)'!$P$21*T2+'Beta (CTR)'!$P$22*U2+'Beta (CTR)'!$P$23*V2+'Beta (CTR)'!$P$24*W2+'Beta (CTR)'!$P$25*X2+'Beta (CTR)'!$P$27*Z2+'Beta (CTR)'!$P$28*AA2+'Beta (CTR)'!$P$29*AB2+'Beta (CTR)'!$P$31*AD2+'Beta (CTR)'!$P$32*AE2+'Beta (CTR)'!$P$33*AF2+'Beta (CTR)'!$P$34*AG2+'Beta (CTR)'!$P$39*AL2</f>
        <v>0.94194580277481832</v>
      </c>
      <c r="P28" s="626">
        <f>+'Beta (CTR)'!$Q$3*B2+'Beta (CTR)'!$Q$4*C2+'Beta (CTR)'!$Q$5*D2+'Beta (CTR)'!$Q$6*E2+'Beta (CTR)'!$Q$9*H2+'Beta (CTR)'!$Q$10*I2+'Beta (CTR)'!$Q$11*J2+'Beta (CTR)'!$Q$12*K2+'Beta (CTR)'!$Q$13*L2+'Beta (CTR)'!$Q$14*M2+'Beta (CTR)'!$Q$15*N2+'Beta (CTR)'!$Q$16*O2+'Beta (CTR)'!$Q$17*P2+'Beta (CTR)'!$Q$19*R2+'Beta (CTR)'!$Q$20*S2+'Beta (CTR)'!$Q$21*T2+'Beta (CTR)'!$Q$22*U2+'Beta (CTR)'!$Q$23*V2+'Beta (CTR)'!$Q$24*W2+'Beta (CTR)'!$Q$25*X2+'Beta (CTR)'!$Q$26*Y2+'Beta (CTR)'!$Q$27*Z2+'Beta (CTR)'!$Q$28*AA2+'Beta (CTR)'!$Q$29*AB2+'Beta (CTR)'!$Q$30*AC2+'Beta (CTR)'!$Q$31*AD2+'Beta (CTR)'!$Q$32*AE2+'Beta (CTR)'!$Q$33*AF2+'Beta (CTR)'!$Q$37*AJ2+'Beta (CTR)'!$Q$41*AN2</f>
        <v>0.57248863085322155</v>
      </c>
      <c r="Q28" s="626">
        <f>+'Beta (CTR)'!$R$3*B2+'Beta (CTR)'!$R$4*C2+'Beta (CTR)'!$R$5*D2+'Beta (CTR)'!$R$6*E2+'Beta (CTR)'!$R$9*H2+'Beta (CTR)'!$R$10*I2+'Beta (CTR)'!$R$11*J2+'Beta (CTR)'!$R$12*K2+'Beta (CTR)'!$R$13*L2+'Beta (CTR)'!$R$14*M2+'Beta (CTR)'!$R$15*N2+'Beta (CTR)'!$R$16*O2+'Beta (CTR)'!$R$17*P2+'Beta (CTR)'!$R$19*R2+'Beta (CTR)'!$R$20*S2+'Beta (CTR)'!$R$21*T2+'Beta (CTR)'!$R$22*U2+'Beta (CTR)'!$R$23*V2+'Beta (CTR)'!$R$24*W2+'Beta (CTR)'!$R$25*X2+'Beta (CTR)'!$R$26*Y2+'Beta (CTR)'!$R$27*Z2+'Beta (CTR)'!$R$28*AA2+'Beta (CTR)'!$R$29*AB2+'Beta (CTR)'!$R$30*AC2+'Beta (CTR)'!$R$31*AD2+'Beta (CTR)'!$R$32*AE2+'Beta (CTR)'!$R$33*AF2+'Beta (CTR)'!$R$37*AJ2+'Beta (CTR)'!$R$41*AN2</f>
        <v>0.57248863085322155</v>
      </c>
    </row>
    <row r="29" spans="1:41" x14ac:dyDescent="0.25">
      <c r="A29" s="625">
        <v>2</v>
      </c>
      <c r="B29" s="626">
        <f>+'Beta (CTR)'!$C$3*B3+'Beta (CTR)'!$C$8*G3+'Beta (CTR)'!$C$21*T3+'Beta (CTR)'!$C$22*U3+'Beta (CTR)'!$C$23*V3+'Beta (CTR)'!$C$24*W3+'Beta (CTR)'!$C$27*Z3+'Beta (CTR)'!$C$28*AA3+'Beta (CTR)'!$C$31*AD3</f>
        <v>0.94684588585022356</v>
      </c>
      <c r="C29" s="626">
        <f>+'Beta (CTR)'!$D$3*B3+'Beta (CTR)'!$D$4*C3+'Beta (CTR)'!$D$5*D3+'Beta (CTR)'!$D$10*I3+'Beta (CTR)'!$D$17*P3+'Beta (CTR)'!$D$21*T3+'Beta (CTR)'!$D$22*U3+'Beta (CTR)'!$D$23*V3+'Beta (CTR)'!$D$24*W3+'Beta (CTR)'!$D$25*X3+'Beta (CTR)'!$D$26*Y3+'Beta (CTR)'!$D$27*Z3+'Beta (CTR)'!$D$29*AB3+'Beta (CTR)'!$D$32*AE3+'Beta (CTR)'!$D$33*AF3</f>
        <v>0.50706658898611823</v>
      </c>
      <c r="D29" s="626">
        <f>+'Beta (CTR)'!$E$3*B3+'Beta (CTR)'!$E$4*C3+'Beta (CTR)'!$E$15*N3+'Beta (CTR)'!$E$16*O3+'Beta (CTR)'!$E$21*T3+'Beta (CTR)'!$E$24*W3+'Beta (CTR)'!$E$25*X3+'Beta (CTR)'!$E$27*Z3+'Beta (CTR)'!$E$28*AA3+'Beta (CTR)'!$E$29*AB3</f>
        <v>0.55288188940166039</v>
      </c>
      <c r="E29" s="626">
        <f>+'Beta (CTR)'!$F$4*C3+'Beta (CTR)'!$F$10*I3+'Beta (CTR)'!$F$16*O3+'Beta (CTR)'!$F$21*T3+'Beta (CTR)'!$F$24*W3+'Beta (CTR)'!$F$25*X3+'Beta (CTR)'!$F$26*Y3+'Beta (CTR)'!$F$27*Z3+'Beta (CTR)'!$F$29*AB3+'Beta (CTR)'!$F$30*AC3</f>
        <v>0.52781883101420379</v>
      </c>
      <c r="F29" s="626">
        <f>+'Beta (CTR)'!$G$3*B3+'Beta (CTR)'!$G$11*J3+'Beta (CTR)'!$G$12*K3+'Beta (CTR)'!$G$21*T3+'Beta (CTR)'!$G$23*V3+'Beta (CTR)'!$G$24*W3+'Beta (CTR)'!$G$28*AA3</f>
        <v>0.77479001230103317</v>
      </c>
      <c r="G29" s="626">
        <f>+'Beta (CTR)'!$H$3*B3+'Beta (CTR)'!$H$5*D3+'Beta (CTR)'!$H$7*F3+'Beta (CTR)'!$H$21*T3+'Beta (CTR)'!$H$23*V3+'Beta (CTR)'!$H$24*W3+'Beta (CTR)'!$H$25*X3+'Beta (CTR)'!$H$27*Z3+'Beta (CTR)'!$H$29*AB3+'Beta (CTR)'!$H$32*AE3+'Beta (CTR)'!$H$33*AF3</f>
        <v>0.72125594689634387</v>
      </c>
      <c r="H29" s="626">
        <f>+'Beta (CTR)'!$I$4*C3+'Beta (CTR)'!$I$6*E3+'Beta (CTR)'!$I$9*H3+'Beta (CTR)'!$I$13*L3+'Beta (CTR)'!$I$14*M3+'Beta (CTR)'!$I$19*R3+'Beta (CTR)'!$I$22*U3+'Beta (CTR)'!$I$25*X3+'Beta (CTR)'!$I$30*AC3</f>
        <v>0.35912874641934256</v>
      </c>
      <c r="I29" s="626">
        <f>+'Beta (CTR)'!$J$16*O3+'Beta (CTR)'!$J$20*S3+'Beta (CTR)'!$J$21*T3+'Beta (CTR)'!$J$23*V3+'Beta (CTR)'!$J$24*W3+'Beta (CTR)'!$J$26*Y3+'Beta (CTR)'!$J$27*Z3+'Beta (CTR)'!$J$30*AC3+'Beta (CTR)'!$J$31*AD3+'Beta (CTR)'!$J$32*AE3</f>
        <v>0.57459927646148057</v>
      </c>
      <c r="J29" s="626">
        <f>+'Beta (CTR)'!$K$3*B3+'Beta (CTR)'!$K$4*C3+'Beta (CTR)'!$K$13*L3+'Beta (CTR)'!$K$15*N3+'Beta (CTR)'!$K$18*Q3+'Beta (CTR)'!$K$22*U3+'Beta (CTR)'!$K$23*V3+'Beta (CTR)'!$K$25*X3+'Beta (CTR)'!$K$27*Z3+'Beta (CTR)'!$K$28*AA3+'Beta (CTR)'!$K$29*AB3+'Beta (CTR)'!$K$30*AC3+'Beta (CTR)'!$K$31*AD3+'Beta (CTR)'!$K$32*AE3</f>
        <v>0.77713522522938727</v>
      </c>
      <c r="K29" s="626">
        <f>+'Beta (CTR)'!$L$3*B3+'Beta (CTR)'!$L$6*E3+'Beta (CTR)'!$L$25*X3+'Beta (CTR)'!$L$27*Z3</f>
        <v>0.31562501898963174</v>
      </c>
      <c r="L29" s="626">
        <f>+'Beta (CTR)'!$M$3*B3+'Beta (CTR)'!$M$4*C3+'Beta (CTR)'!$M$5*D3+'Beta (CTR)'!$M$6*E3+'Beta (CTR)'!$M$7*F3+'Beta (CTR)'!$M$8*G3+'Beta (CTR)'!$M$9*H3+'Beta (CTR)'!$M$10*I3+'Beta (CTR)'!$M$13*L3+'Beta (CTR)'!$M$14*M3+'Beta (CTR)'!$M$15*N3+'Beta (CTR)'!$M$16*O3+'Beta (CTR)'!$M$17*P3+'Beta (CTR)'!$M$18*Q3+'Beta (CTR)'!$M$21*T3+'Beta (CTR)'!$M$22*U3+'Beta (CTR)'!$M$23*V3+'Beta (CTR)'!$M$24*W3+'Beta (CTR)'!$M$25*X3+'Beta (CTR)'!$M$26*Y3+'Beta (CTR)'!$M$27*Z3+'Beta (CTR)'!$M$28*AA3+'Beta (CTR)'!$M$29*AB3+'Beta (CTR)'!$M$30*AC3+'Beta (CTR)'!$M$31*AD3+'Beta (CTR)'!$M$32*AE3+'Beta (CTR)'!$M$33*AF3+'Beta (CTR)'!$M$34*AG3+'Beta (CTR)'!$M$35*AH3+'Beta (CTR)'!$M$36*AI3+'Beta (CTR)'!$M$38*AK3+'Beta (CTR)'!$M$40*AM3</f>
        <v>0.58616666029892361</v>
      </c>
      <c r="M29" s="626">
        <f>+'Beta (CTR)'!$N$3*B3+'Beta (CTR)'!$N$4*C3+'Beta (CTR)'!$N$6*E3+'Beta (CTR)'!$N$8*G3+'Beta (CTR)'!$N$9*H3+'Beta (CTR)'!$N$10*I3+'Beta (CTR)'!$N$13*L3+'Beta (CTR)'!$N$14*M3+'Beta (CTR)'!$N$15*N3+'Beta (CTR)'!$N$16*O3+'Beta (CTR)'!$N$18*Q3+'Beta (CTR)'!$N$19*R3+'Beta (CTR)'!$N$21*T3+'Beta (CTR)'!$N$22*U3+'Beta (CTR)'!$N$23*V3+'Beta (CTR)'!$N$24*W3+'Beta (CTR)'!$N$25*X3+'Beta (CTR)'!$N$26*Y3+'Beta (CTR)'!$N$27*Z3+'Beta (CTR)'!$N$28*AA3+'Beta (CTR)'!$N$29*AB3+'Beta (CTR)'!$N$30*AC3+'Beta (CTR)'!$N$31*AD3+'Beta (CTR)'!$N$32*AE3+'Beta (CTR)'!$N$34*AG3+'Beta (CTR)'!$N$36*AI3+'Beta (CTR)'!$N$42*AO3</f>
        <v>0.61189121784241418</v>
      </c>
      <c r="N29" s="626">
        <f>+'Beta (CTR)'!$O$3*B3+'Beta (CTR)'!$O$5*D3+'Beta (CTR)'!$O$7*F3+'Beta (CTR)'!$O$8*G3+'Beta (CTR)'!$O$21*T3+'Beta (CTR)'!$O$22*U3+'Beta (CTR)'!$O$23*V3+'Beta (CTR)'!$O$24*W3+'Beta (CTR)'!$O$25*X3+'Beta (CTR)'!$O$27*Z3+'Beta (CTR)'!$O$28*AA3+'Beta (CTR)'!$O$29*AB3+'Beta (CTR)'!$O$31*AD3+'Beta (CTR)'!$O$32*AE3+'Beta (CTR)'!$O$33*AF3+'Beta (CTR)'!$O$34*AG3</f>
        <v>0.80295559223069835</v>
      </c>
      <c r="O29" s="626">
        <f>+'Beta (CTR)'!$P$3*B3+'Beta (CTR)'!$P$5*D3+'Beta (CTR)'!$P$7*F3+'Beta (CTR)'!$P$8*G3+'Beta (CTR)'!$P$21*T3+'Beta (CTR)'!$P$22*U3+'Beta (CTR)'!$P$23*V3+'Beta (CTR)'!$P$24*W3+'Beta (CTR)'!$P$25*X3+'Beta (CTR)'!$P$27*Z3+'Beta (CTR)'!$P$28*AA3+'Beta (CTR)'!$P$29*AB3+'Beta (CTR)'!$P$31*AD3+'Beta (CTR)'!$P$32*AE3+'Beta (CTR)'!$P$33*AF3+'Beta (CTR)'!$P$34*AG3+'Beta (CTR)'!$P$39*AL3</f>
        <v>0.85600414013197301</v>
      </c>
      <c r="P29" s="626">
        <f>+'Beta (CTR)'!$Q$3*B3+'Beta (CTR)'!$Q$4*C3+'Beta (CTR)'!$Q$5*D3+'Beta (CTR)'!$Q$6*E3+'Beta (CTR)'!$Q$9*H3+'Beta (CTR)'!$Q$10*I3+'Beta (CTR)'!$Q$11*J3+'Beta (CTR)'!$Q$12*K3+'Beta (CTR)'!$Q$13*L3+'Beta (CTR)'!$Q$14*M3+'Beta (CTR)'!$Q$15*N3+'Beta (CTR)'!$Q$16*O3+'Beta (CTR)'!$Q$17*P3+'Beta (CTR)'!$Q$19*R3+'Beta (CTR)'!$Q$20*S3+'Beta (CTR)'!$Q$21*T3+'Beta (CTR)'!$Q$22*U3+'Beta (CTR)'!$Q$23*V3+'Beta (CTR)'!$Q$24*W3+'Beta (CTR)'!$Q$25*X3+'Beta (CTR)'!$Q$26*Y3+'Beta (CTR)'!$Q$27*Z3+'Beta (CTR)'!$Q$28*AA3+'Beta (CTR)'!$Q$29*AB3+'Beta (CTR)'!$Q$30*AC3+'Beta (CTR)'!$Q$31*AD3+'Beta (CTR)'!$Q$32*AE3+'Beta (CTR)'!$Q$33*AF3+'Beta (CTR)'!$Q$37*AJ3+'Beta (CTR)'!$Q$41*AN3</f>
        <v>0.49823003775714864</v>
      </c>
      <c r="Q29" s="626">
        <f>+'Beta (CTR)'!$R$3*B3+'Beta (CTR)'!$R$4*C3+'Beta (CTR)'!$R$5*D3+'Beta (CTR)'!$R$6*E3+'Beta (CTR)'!$R$9*H3+'Beta (CTR)'!$R$10*I3+'Beta (CTR)'!$R$11*J3+'Beta (CTR)'!$R$12*K3+'Beta (CTR)'!$R$13*L3+'Beta (CTR)'!$R$14*M3+'Beta (CTR)'!$R$15*N3+'Beta (CTR)'!$R$16*O3+'Beta (CTR)'!$R$17*P3+'Beta (CTR)'!$R$19*R3+'Beta (CTR)'!$R$20*S3+'Beta (CTR)'!$R$21*T3+'Beta (CTR)'!$R$22*U3+'Beta (CTR)'!$R$23*V3+'Beta (CTR)'!$R$24*W3+'Beta (CTR)'!$R$25*X3+'Beta (CTR)'!$R$26*Y3+'Beta (CTR)'!$R$27*Z3+'Beta (CTR)'!$R$28*AA3+'Beta (CTR)'!$R$29*AB3+'Beta (CTR)'!$R$30*AC3+'Beta (CTR)'!$R$31*AD3+'Beta (CTR)'!$R$32*AE3+'Beta (CTR)'!$R$33*AF3+'Beta (CTR)'!$R$37*AJ3+'Beta (CTR)'!$R$41*AN3</f>
        <v>0.49823003775714864</v>
      </c>
    </row>
    <row r="30" spans="1:41" x14ac:dyDescent="0.25">
      <c r="A30" s="625">
        <v>3</v>
      </c>
      <c r="B30" s="626">
        <f>+'Beta (CTR)'!$C$3*B4+'Beta (CTR)'!$C$8*G4+'Beta (CTR)'!$C$21*T4+'Beta (CTR)'!$C$22*U4+'Beta (CTR)'!$C$23*V4+'Beta (CTR)'!$C$24*W4+'Beta (CTR)'!$C$27*Z4+'Beta (CTR)'!$C$28*AA4+'Beta (CTR)'!$C$31*AD4</f>
        <v>0.91299335332988651</v>
      </c>
      <c r="C30" s="626">
        <f>+'Beta (CTR)'!$D$3*B4+'Beta (CTR)'!$D$4*C4+'Beta (CTR)'!$D$5*D4+'Beta (CTR)'!$D$10*I4+'Beta (CTR)'!$D$17*P4+'Beta (CTR)'!$D$21*T4+'Beta (CTR)'!$D$22*U4+'Beta (CTR)'!$D$23*V4+'Beta (CTR)'!$D$24*W4+'Beta (CTR)'!$D$25*X4+'Beta (CTR)'!$D$26*Y4+'Beta (CTR)'!$D$27*Z4+'Beta (CTR)'!$D$29*AB4+'Beta (CTR)'!$D$32*AE4+'Beta (CTR)'!$D$33*AF4</f>
        <v>0.54863770789293764</v>
      </c>
      <c r="D30" s="626">
        <f>+'Beta (CTR)'!$E$3*B4+'Beta (CTR)'!$E$4*C4+'Beta (CTR)'!$E$15*N4+'Beta (CTR)'!$E$16*O4+'Beta (CTR)'!$E$21*T4+'Beta (CTR)'!$E$24*W4+'Beta (CTR)'!$E$25*X4+'Beta (CTR)'!$E$27*Z4+'Beta (CTR)'!$E$28*AA4+'Beta (CTR)'!$E$29*AB4</f>
        <v>0.52445955715650117</v>
      </c>
      <c r="E30" s="626">
        <f>+'Beta (CTR)'!$F$4*C4+'Beta (CTR)'!$F$10*I4+'Beta (CTR)'!$F$16*O4+'Beta (CTR)'!$F$21*T4+'Beta (CTR)'!$F$24*W4+'Beta (CTR)'!$F$25*X4+'Beta (CTR)'!$F$26*Y4+'Beta (CTR)'!$F$27*Z4+'Beta (CTR)'!$F$29*AB4+'Beta (CTR)'!$F$30*AC4</f>
        <v>0.52203265356460116</v>
      </c>
      <c r="F30" s="626">
        <f>+'Beta (CTR)'!$G$3*B4+'Beta (CTR)'!$G$11*J4+'Beta (CTR)'!$G$12*K4+'Beta (CTR)'!$G$21*T4+'Beta (CTR)'!$G$23*V4+'Beta (CTR)'!$G$24*W4+'Beta (CTR)'!$G$28*AA4</f>
        <v>0.73207393974710411</v>
      </c>
      <c r="G30" s="626">
        <f>+'Beta (CTR)'!$H$3*B4+'Beta (CTR)'!$H$5*D4+'Beta (CTR)'!$H$7*F4+'Beta (CTR)'!$H$21*T4+'Beta (CTR)'!$H$23*V4+'Beta (CTR)'!$H$24*W4+'Beta (CTR)'!$H$25*X4+'Beta (CTR)'!$H$27*Z4+'Beta (CTR)'!$H$29*AB4+'Beta (CTR)'!$H$32*AE4+'Beta (CTR)'!$H$33*AF4</f>
        <v>0.6971383537780903</v>
      </c>
      <c r="H30" s="626">
        <f>+'Beta (CTR)'!$I$4*C4+'Beta (CTR)'!$I$6*E4+'Beta (CTR)'!$I$9*H4+'Beta (CTR)'!$I$13*L4+'Beta (CTR)'!$I$14*M4+'Beta (CTR)'!$I$19*R4+'Beta (CTR)'!$I$22*U4+'Beta (CTR)'!$I$25*X4+'Beta (CTR)'!$I$30*AC4</f>
        <v>0.28840712520929779</v>
      </c>
      <c r="I30" s="626">
        <f>+'Beta (CTR)'!$J$16*O4+'Beta (CTR)'!$J$20*S4+'Beta (CTR)'!$J$21*T4+'Beta (CTR)'!$J$23*V4+'Beta (CTR)'!$J$24*W4+'Beta (CTR)'!$J$26*Y4+'Beta (CTR)'!$J$27*Z4+'Beta (CTR)'!$J$30*AC4+'Beta (CTR)'!$J$31*AD4+'Beta (CTR)'!$J$32*AE4</f>
        <v>0.58401664086801186</v>
      </c>
      <c r="J30" s="626">
        <f>+'Beta (CTR)'!$K$3*B4+'Beta (CTR)'!$K$4*C4+'Beta (CTR)'!$K$13*L4+'Beta (CTR)'!$K$15*N4+'Beta (CTR)'!$K$18*Q4+'Beta (CTR)'!$K$22*U4+'Beta (CTR)'!$K$23*V4+'Beta (CTR)'!$K$25*X4+'Beta (CTR)'!$K$27*Z4+'Beta (CTR)'!$K$28*AA4+'Beta (CTR)'!$K$29*AB4+'Beta (CTR)'!$K$30*AC4+'Beta (CTR)'!$K$31*AD4+'Beta (CTR)'!$K$32*AE4</f>
        <v>0.72209461057092339</v>
      </c>
      <c r="K30" s="626">
        <f>+'Beta (CTR)'!$L$3*B4+'Beta (CTR)'!$L$6*E4+'Beta (CTR)'!$L$25*X4+'Beta (CTR)'!$L$27*Z4</f>
        <v>0.32221874732915656</v>
      </c>
      <c r="L30" s="626">
        <f>+'Beta (CTR)'!$M$3*B4+'Beta (CTR)'!$M$4*C4+'Beta (CTR)'!$M$5*D4+'Beta (CTR)'!$M$6*E4+'Beta (CTR)'!$M$7*F4+'Beta (CTR)'!$M$8*G4+'Beta (CTR)'!$M$9*H4+'Beta (CTR)'!$M$10*I4+'Beta (CTR)'!$M$13*L4+'Beta (CTR)'!$M$14*M4+'Beta (CTR)'!$M$15*N4+'Beta (CTR)'!$M$16*O4+'Beta (CTR)'!$M$17*P4+'Beta (CTR)'!$M$18*Q4+'Beta (CTR)'!$M$21*T4+'Beta (CTR)'!$M$22*U4+'Beta (CTR)'!$M$23*V4+'Beta (CTR)'!$M$24*W4+'Beta (CTR)'!$M$25*X4+'Beta (CTR)'!$M$26*Y4+'Beta (CTR)'!$M$27*Z4+'Beta (CTR)'!$M$28*AA4+'Beta (CTR)'!$M$29*AB4+'Beta (CTR)'!$M$30*AC4+'Beta (CTR)'!$M$31*AD4+'Beta (CTR)'!$M$32*AE4+'Beta (CTR)'!$M$33*AF4+'Beta (CTR)'!$M$34*AG4+'Beta (CTR)'!$M$35*AH4+'Beta (CTR)'!$M$36*AI4+'Beta (CTR)'!$M$38*AK4+'Beta (CTR)'!$M$40*AM4</f>
        <v>0.57264349782289015</v>
      </c>
      <c r="M30" s="626">
        <f>+'Beta (CTR)'!$N$3*B4+'Beta (CTR)'!$N$4*C4+'Beta (CTR)'!$N$6*E4+'Beta (CTR)'!$N$8*G4+'Beta (CTR)'!$N$9*H4+'Beta (CTR)'!$N$10*I4+'Beta (CTR)'!$N$13*L4+'Beta (CTR)'!$N$14*M4+'Beta (CTR)'!$N$15*N4+'Beta (CTR)'!$N$16*O4+'Beta (CTR)'!$N$18*Q4+'Beta (CTR)'!$N$19*R4+'Beta (CTR)'!$N$21*T4+'Beta (CTR)'!$N$22*U4+'Beta (CTR)'!$N$23*V4+'Beta (CTR)'!$N$24*W4+'Beta (CTR)'!$N$25*X4+'Beta (CTR)'!$N$26*Y4+'Beta (CTR)'!$N$27*Z4+'Beta (CTR)'!$N$28*AA4+'Beta (CTR)'!$N$29*AB4+'Beta (CTR)'!$N$30*AC4+'Beta (CTR)'!$N$31*AD4+'Beta (CTR)'!$N$32*AE4+'Beta (CTR)'!$N$34*AG4+'Beta (CTR)'!$N$36*AI4+'Beta (CTR)'!$N$42*AO4</f>
        <v>0.57492879384676498</v>
      </c>
      <c r="N30" s="626">
        <f>+'Beta (CTR)'!$O$3*B4+'Beta (CTR)'!$O$5*D4+'Beta (CTR)'!$O$7*F4+'Beta (CTR)'!$O$8*G4+'Beta (CTR)'!$O$21*T4+'Beta (CTR)'!$O$22*U4+'Beta (CTR)'!$O$23*V4+'Beta (CTR)'!$O$24*W4+'Beta (CTR)'!$O$25*X4+'Beta (CTR)'!$O$27*Z4+'Beta (CTR)'!$O$28*AA4+'Beta (CTR)'!$O$29*AB4+'Beta (CTR)'!$O$31*AD4+'Beta (CTR)'!$O$32*AE4+'Beta (CTR)'!$O$33*AF4+'Beta (CTR)'!$O$34*AG4</f>
        <v>0.78473467223930871</v>
      </c>
      <c r="O30" s="626">
        <f>+'Beta (CTR)'!$P$3*B4+'Beta (CTR)'!$P$5*D4+'Beta (CTR)'!$P$7*F4+'Beta (CTR)'!$P$8*G4+'Beta (CTR)'!$P$21*T4+'Beta (CTR)'!$P$22*U4+'Beta (CTR)'!$P$23*V4+'Beta (CTR)'!$P$24*W4+'Beta (CTR)'!$P$25*X4+'Beta (CTR)'!$P$27*Z4+'Beta (CTR)'!$P$28*AA4+'Beta (CTR)'!$P$29*AB4+'Beta (CTR)'!$P$31*AD4+'Beta (CTR)'!$P$32*AE4+'Beta (CTR)'!$P$33*AF4+'Beta (CTR)'!$P$34*AG4+'Beta (CTR)'!$P$39*AL4</f>
        <v>0.83457669734319362</v>
      </c>
      <c r="P30" s="626">
        <f>+'Beta (CTR)'!$Q$3*B4+'Beta (CTR)'!$Q$4*C4+'Beta (CTR)'!$Q$5*D4+'Beta (CTR)'!$Q$6*E4+'Beta (CTR)'!$Q$9*H4+'Beta (CTR)'!$Q$10*I4+'Beta (CTR)'!$Q$11*J4+'Beta (CTR)'!$Q$12*K4+'Beta (CTR)'!$Q$13*L4+'Beta (CTR)'!$Q$14*M4+'Beta (CTR)'!$Q$15*N4+'Beta (CTR)'!$Q$16*O4+'Beta (CTR)'!$Q$17*P4+'Beta (CTR)'!$Q$19*R4+'Beta (CTR)'!$Q$20*S4+'Beta (CTR)'!$Q$21*T4+'Beta (CTR)'!$Q$22*U4+'Beta (CTR)'!$Q$23*V4+'Beta (CTR)'!$Q$24*W4+'Beta (CTR)'!$Q$25*X4+'Beta (CTR)'!$Q$26*Y4+'Beta (CTR)'!$Q$27*Z4+'Beta (CTR)'!$Q$28*AA4+'Beta (CTR)'!$Q$29*AB4+'Beta (CTR)'!$Q$30*AC4+'Beta (CTR)'!$Q$31*AD4+'Beta (CTR)'!$Q$32*AE4+'Beta (CTR)'!$Q$33*AF4+'Beta (CTR)'!$Q$37*AJ4+'Beta (CTR)'!$Q$41*AN4</f>
        <v>0.52008148257315157</v>
      </c>
      <c r="Q30" s="626">
        <f>+'Beta (CTR)'!$R$3*B4+'Beta (CTR)'!$R$4*C4+'Beta (CTR)'!$R$5*D4+'Beta (CTR)'!$R$6*E4+'Beta (CTR)'!$R$9*H4+'Beta (CTR)'!$R$10*I4+'Beta (CTR)'!$R$11*J4+'Beta (CTR)'!$R$12*K4+'Beta (CTR)'!$R$13*L4+'Beta (CTR)'!$R$14*M4+'Beta (CTR)'!$R$15*N4+'Beta (CTR)'!$R$16*O4+'Beta (CTR)'!$R$17*P4+'Beta (CTR)'!$R$19*R4+'Beta (CTR)'!$R$20*S4+'Beta (CTR)'!$R$21*T4+'Beta (CTR)'!$R$22*U4+'Beta (CTR)'!$R$23*V4+'Beta (CTR)'!$R$24*W4+'Beta (CTR)'!$R$25*X4+'Beta (CTR)'!$R$26*Y4+'Beta (CTR)'!$R$27*Z4+'Beta (CTR)'!$R$28*AA4+'Beta (CTR)'!$R$29*AB4+'Beta (CTR)'!$R$30*AC4+'Beta (CTR)'!$R$31*AD4+'Beta (CTR)'!$R$32*AE4+'Beta (CTR)'!$R$33*AF4+'Beta (CTR)'!$R$37*AJ4+'Beta (CTR)'!$R$41*AN4</f>
        <v>0.52008148257315157</v>
      </c>
    </row>
    <row r="31" spans="1:41" x14ac:dyDescent="0.25">
      <c r="A31" s="625">
        <v>4</v>
      </c>
      <c r="B31" s="626">
        <f>+'Beta (CTR)'!$C$3*B5+'Beta (CTR)'!$C$8*G5+'Beta (CTR)'!$C$21*T5+'Beta (CTR)'!$C$22*U5+'Beta (CTR)'!$C$23*V5+'Beta (CTR)'!$C$24*W5+'Beta (CTR)'!$C$27*Z5+'Beta (CTR)'!$C$28*AA5+'Beta (CTR)'!$C$31*AD5</f>
        <v>0.90744634409448099</v>
      </c>
      <c r="C31" s="626">
        <f>+'Beta (CTR)'!$D$3*B5+'Beta (CTR)'!$D$4*C5+'Beta (CTR)'!$D$5*D5+'Beta (CTR)'!$D$10*I5+'Beta (CTR)'!$D$17*P5+'Beta (CTR)'!$D$21*T5+'Beta (CTR)'!$D$22*U5+'Beta (CTR)'!$D$23*V5+'Beta (CTR)'!$D$24*W5+'Beta (CTR)'!$D$25*X5+'Beta (CTR)'!$D$26*Y5+'Beta (CTR)'!$D$27*Z5+'Beta (CTR)'!$D$29*AB5+'Beta (CTR)'!$D$32*AE5+'Beta (CTR)'!$D$33*AF5</f>
        <v>0.51056335239424377</v>
      </c>
      <c r="D31" s="626">
        <f>+'Beta (CTR)'!$E$3*B5+'Beta (CTR)'!$E$4*C5+'Beta (CTR)'!$E$15*N5+'Beta (CTR)'!$E$16*O5+'Beta (CTR)'!$E$21*T5+'Beta (CTR)'!$E$24*W5+'Beta (CTR)'!$E$25*X5+'Beta (CTR)'!$E$27*Z5+'Beta (CTR)'!$E$28*AA5+'Beta (CTR)'!$E$29*AB5</f>
        <v>0.5006279455692646</v>
      </c>
      <c r="E31" s="626">
        <f>+'Beta (CTR)'!$F$4*C5+'Beta (CTR)'!$F$10*I5+'Beta (CTR)'!$F$16*O5+'Beta (CTR)'!$F$21*T5+'Beta (CTR)'!$F$24*W5+'Beta (CTR)'!$F$25*X5+'Beta (CTR)'!$F$26*Y5+'Beta (CTR)'!$F$27*Z5+'Beta (CTR)'!$F$29*AB5+'Beta (CTR)'!$F$30*AC5</f>
        <v>0.49984649517786334</v>
      </c>
      <c r="F31" s="626">
        <f>+'Beta (CTR)'!$G$3*B5+'Beta (CTR)'!$G$11*J5+'Beta (CTR)'!$G$12*K5+'Beta (CTR)'!$G$21*T5+'Beta (CTR)'!$G$23*V5+'Beta (CTR)'!$G$24*W5+'Beta (CTR)'!$G$28*AA5</f>
        <v>0.66326546077258064</v>
      </c>
      <c r="G31" s="626">
        <f>+'Beta (CTR)'!$H$3*B5+'Beta (CTR)'!$H$5*D5+'Beta (CTR)'!$H$7*F5+'Beta (CTR)'!$H$21*T5+'Beta (CTR)'!$H$23*V5+'Beta (CTR)'!$H$24*W5+'Beta (CTR)'!$H$25*X5+'Beta (CTR)'!$H$27*Z5+'Beta (CTR)'!$H$29*AB5+'Beta (CTR)'!$H$32*AE5+'Beta (CTR)'!$H$33*AF5</f>
        <v>0.67895247586758545</v>
      </c>
      <c r="H31" s="626">
        <f>+'Beta (CTR)'!$I$4*C5+'Beta (CTR)'!$I$6*E5+'Beta (CTR)'!$I$9*H5+'Beta (CTR)'!$I$13*L5+'Beta (CTR)'!$I$14*M5+'Beta (CTR)'!$I$19*R5+'Beta (CTR)'!$I$22*U5+'Beta (CTR)'!$I$25*X5+'Beta (CTR)'!$I$30*AC5</f>
        <v>0.30406779466356676</v>
      </c>
      <c r="I31" s="626">
        <f>+'Beta (CTR)'!$J$16*O5+'Beta (CTR)'!$J$20*S5+'Beta (CTR)'!$J$21*T5+'Beta (CTR)'!$J$23*V5+'Beta (CTR)'!$J$24*W5+'Beta (CTR)'!$J$26*Y5+'Beta (CTR)'!$J$27*Z5+'Beta (CTR)'!$J$30*AC5+'Beta (CTR)'!$J$31*AD5+'Beta (CTR)'!$J$32*AE5</f>
        <v>0.5372498851351708</v>
      </c>
      <c r="J31" s="626">
        <f>+'Beta (CTR)'!$K$3*B5+'Beta (CTR)'!$K$4*C5+'Beta (CTR)'!$K$13*L5+'Beta (CTR)'!$K$15*N5+'Beta (CTR)'!$K$18*Q5+'Beta (CTR)'!$K$22*U5+'Beta (CTR)'!$K$23*V5+'Beta (CTR)'!$K$25*X5+'Beta (CTR)'!$K$27*Z5+'Beta (CTR)'!$K$28*AA5+'Beta (CTR)'!$K$29*AB5+'Beta (CTR)'!$K$30*AC5+'Beta (CTR)'!$K$31*AD5+'Beta (CTR)'!$K$32*AE5</f>
        <v>0.71553094335141121</v>
      </c>
      <c r="K31" s="626">
        <f>+'Beta (CTR)'!$L$3*B5+'Beta (CTR)'!$L$6*E5+'Beta (CTR)'!$L$25*X5+'Beta (CTR)'!$L$27*Z5</f>
        <v>0.31565287062976594</v>
      </c>
      <c r="L31" s="626">
        <f>+'Beta (CTR)'!$M$3*B5+'Beta (CTR)'!$M$4*C5+'Beta (CTR)'!$M$5*D5+'Beta (CTR)'!$M$6*E5+'Beta (CTR)'!$M$7*F5+'Beta (CTR)'!$M$8*G5+'Beta (CTR)'!$M$9*H5+'Beta (CTR)'!$M$10*I5+'Beta (CTR)'!$M$13*L5+'Beta (CTR)'!$M$14*M5+'Beta (CTR)'!$M$15*N5+'Beta (CTR)'!$M$16*O5+'Beta (CTR)'!$M$17*P5+'Beta (CTR)'!$M$18*Q5+'Beta (CTR)'!$M$21*T5+'Beta (CTR)'!$M$22*U5+'Beta (CTR)'!$M$23*V5+'Beta (CTR)'!$M$24*W5+'Beta (CTR)'!$M$25*X5+'Beta (CTR)'!$M$26*Y5+'Beta (CTR)'!$M$27*Z5+'Beta (CTR)'!$M$28*AA5+'Beta (CTR)'!$M$29*AB5+'Beta (CTR)'!$M$30*AC5+'Beta (CTR)'!$M$31*AD5+'Beta (CTR)'!$M$32*AE5+'Beta (CTR)'!$M$33*AF5+'Beta (CTR)'!$M$34*AG5+'Beta (CTR)'!$M$35*AH5+'Beta (CTR)'!$M$36*AI5+'Beta (CTR)'!$M$38*AK5+'Beta (CTR)'!$M$40*AM5</f>
        <v>0.55994192982359459</v>
      </c>
      <c r="M31" s="626">
        <f>+'Beta (CTR)'!$N$3*B5+'Beta (CTR)'!$N$4*C5+'Beta (CTR)'!$N$6*E5+'Beta (CTR)'!$N$8*G5+'Beta (CTR)'!$N$9*H5+'Beta (CTR)'!$N$10*I5+'Beta (CTR)'!$N$13*L5+'Beta (CTR)'!$N$14*M5+'Beta (CTR)'!$N$15*N5+'Beta (CTR)'!$N$16*O5+'Beta (CTR)'!$N$18*Q5+'Beta (CTR)'!$N$19*R5+'Beta (CTR)'!$N$21*T5+'Beta (CTR)'!$N$22*U5+'Beta (CTR)'!$N$23*V5+'Beta (CTR)'!$N$24*W5+'Beta (CTR)'!$N$25*X5+'Beta (CTR)'!$N$26*Y5+'Beta (CTR)'!$N$27*Z5+'Beta (CTR)'!$N$28*AA5+'Beta (CTR)'!$N$29*AB5+'Beta (CTR)'!$N$30*AC5+'Beta (CTR)'!$N$31*AD5+'Beta (CTR)'!$N$32*AE5+'Beta (CTR)'!$N$34*AG5+'Beta (CTR)'!$N$36*AI5+'Beta (CTR)'!$N$42*AO5</f>
        <v>0.56570695169847851</v>
      </c>
      <c r="N31" s="626">
        <f>+'Beta (CTR)'!$O$3*B5+'Beta (CTR)'!$O$5*D5+'Beta (CTR)'!$O$7*F5+'Beta (CTR)'!$O$8*G5+'Beta (CTR)'!$O$21*T5+'Beta (CTR)'!$O$22*U5+'Beta (CTR)'!$O$23*V5+'Beta (CTR)'!$O$24*W5+'Beta (CTR)'!$O$25*X5+'Beta (CTR)'!$O$27*Z5+'Beta (CTR)'!$O$28*AA5+'Beta (CTR)'!$O$29*AB5+'Beta (CTR)'!$O$31*AD5+'Beta (CTR)'!$O$32*AE5+'Beta (CTR)'!$O$33*AF5+'Beta (CTR)'!$O$34*AG5</f>
        <v>0.76000928743555463</v>
      </c>
      <c r="O31" s="626">
        <f>+'Beta (CTR)'!$P$3*B5+'Beta (CTR)'!$P$5*D5+'Beta (CTR)'!$P$7*F5+'Beta (CTR)'!$P$8*G5+'Beta (CTR)'!$P$21*T5+'Beta (CTR)'!$P$22*U5+'Beta (CTR)'!$P$23*V5+'Beta (CTR)'!$P$24*W5+'Beta (CTR)'!$P$25*X5+'Beta (CTR)'!$P$27*Z5+'Beta (CTR)'!$P$28*AA5+'Beta (CTR)'!$P$29*AB5+'Beta (CTR)'!$P$31*AD5+'Beta (CTR)'!$P$32*AE5+'Beta (CTR)'!$P$33*AF5+'Beta (CTR)'!$P$34*AG5+'Beta (CTR)'!$P$39*AL5</f>
        <v>0.81446493084026828</v>
      </c>
      <c r="P31" s="626">
        <f>+'Beta (CTR)'!$Q$3*B5+'Beta (CTR)'!$Q$4*C5+'Beta (CTR)'!$Q$5*D5+'Beta (CTR)'!$Q$6*E5+'Beta (CTR)'!$Q$9*H5+'Beta (CTR)'!$Q$10*I5+'Beta (CTR)'!$Q$11*J5+'Beta (CTR)'!$Q$12*K5+'Beta (CTR)'!$Q$13*L5+'Beta (CTR)'!$Q$14*M5+'Beta (CTR)'!$Q$15*N5+'Beta (CTR)'!$Q$16*O5+'Beta (CTR)'!$Q$17*P5+'Beta (CTR)'!$Q$19*R5+'Beta (CTR)'!$Q$20*S5+'Beta (CTR)'!$Q$21*T5+'Beta (CTR)'!$Q$22*U5+'Beta (CTR)'!$Q$23*V5+'Beta (CTR)'!$Q$24*W5+'Beta (CTR)'!$Q$25*X5+'Beta (CTR)'!$Q$26*Y5+'Beta (CTR)'!$Q$27*Z5+'Beta (CTR)'!$Q$28*AA5+'Beta (CTR)'!$Q$29*AB5+'Beta (CTR)'!$Q$30*AC5+'Beta (CTR)'!$Q$31*AD5+'Beta (CTR)'!$Q$32*AE5+'Beta (CTR)'!$Q$33*AF5+'Beta (CTR)'!$Q$37*AJ5+'Beta (CTR)'!$Q$41*AN5</f>
        <v>0.48712859732034569</v>
      </c>
      <c r="Q31" s="626">
        <f>+'Beta (CTR)'!$R$3*B5+'Beta (CTR)'!$R$4*C5+'Beta (CTR)'!$R$5*D5+'Beta (CTR)'!$R$6*E5+'Beta (CTR)'!$R$9*H5+'Beta (CTR)'!$R$10*I5+'Beta (CTR)'!$R$11*J5+'Beta (CTR)'!$R$12*K5+'Beta (CTR)'!$R$13*L5+'Beta (CTR)'!$R$14*M5+'Beta (CTR)'!$R$15*N5+'Beta (CTR)'!$R$16*O5+'Beta (CTR)'!$R$17*P5+'Beta (CTR)'!$R$19*R5+'Beta (CTR)'!$R$20*S5+'Beta (CTR)'!$R$21*T5+'Beta (CTR)'!$R$22*U5+'Beta (CTR)'!$R$23*V5+'Beta (CTR)'!$R$24*W5+'Beta (CTR)'!$R$25*X5+'Beta (CTR)'!$R$26*Y5+'Beta (CTR)'!$R$27*Z5+'Beta (CTR)'!$R$28*AA5+'Beta (CTR)'!$R$29*AB5+'Beta (CTR)'!$R$30*AC5+'Beta (CTR)'!$R$31*AD5+'Beta (CTR)'!$R$32*AE5+'Beta (CTR)'!$R$33*AF5+'Beta (CTR)'!$R$37*AJ5+'Beta (CTR)'!$R$41*AN5</f>
        <v>0.48712859732034569</v>
      </c>
    </row>
    <row r="32" spans="1:41" x14ac:dyDescent="0.25">
      <c r="A32" s="625">
        <v>5</v>
      </c>
      <c r="B32" s="626">
        <f>+'Beta (CTR)'!$C$3*B6+'Beta (CTR)'!$C$8*G6+'Beta (CTR)'!$C$21*T6+'Beta (CTR)'!$C$22*U6+'Beta (CTR)'!$C$23*V6+'Beta (CTR)'!$C$24*W6+'Beta (CTR)'!$C$27*Z6+'Beta (CTR)'!$C$28*AA6+'Beta (CTR)'!$C$31*AD6</f>
        <v>0.91594019852672204</v>
      </c>
      <c r="C32" s="626">
        <f>+'Beta (CTR)'!$D$3*B6+'Beta (CTR)'!$D$4*C6+'Beta (CTR)'!$D$5*D6+'Beta (CTR)'!$D$10*I6+'Beta (CTR)'!$D$17*P6+'Beta (CTR)'!$D$21*T6+'Beta (CTR)'!$D$22*U6+'Beta (CTR)'!$D$23*V6+'Beta (CTR)'!$D$24*W6+'Beta (CTR)'!$D$25*X6+'Beta (CTR)'!$D$26*Y6+'Beta (CTR)'!$D$27*Z6+'Beta (CTR)'!$D$29*AB6+'Beta (CTR)'!$D$32*AE6+'Beta (CTR)'!$D$33*AF6</f>
        <v>0.49872654089374607</v>
      </c>
      <c r="D32" s="626">
        <f>+'Beta (CTR)'!$E$3*B6+'Beta (CTR)'!$E$4*C6+'Beta (CTR)'!$E$15*N6+'Beta (CTR)'!$E$16*O6+'Beta (CTR)'!$E$21*T6+'Beta (CTR)'!$E$24*W6+'Beta (CTR)'!$E$25*X6+'Beta (CTR)'!$E$27*Z6+'Beta (CTR)'!$E$28*AA6+'Beta (CTR)'!$E$29*AB6</f>
        <v>0.47051297117497948</v>
      </c>
      <c r="E32" s="626">
        <f>+'Beta (CTR)'!$F$4*C6+'Beta (CTR)'!$F$10*I6+'Beta (CTR)'!$F$16*O6+'Beta (CTR)'!$F$21*T6+'Beta (CTR)'!$F$24*W6+'Beta (CTR)'!$F$25*X6+'Beta (CTR)'!$F$26*Y6+'Beta (CTR)'!$F$27*Z6+'Beta (CTR)'!$F$29*AB6+'Beta (CTR)'!$F$30*AC6</f>
        <v>0.47252470611222153</v>
      </c>
      <c r="F32" s="626">
        <f>+'Beta (CTR)'!$G$3*B6+'Beta (CTR)'!$G$11*J6+'Beta (CTR)'!$G$12*K6+'Beta (CTR)'!$G$21*T6+'Beta (CTR)'!$G$23*V6+'Beta (CTR)'!$G$24*W6+'Beta (CTR)'!$G$28*AA6</f>
        <v>0.66430326144861152</v>
      </c>
      <c r="G32" s="626">
        <f>+'Beta (CTR)'!$H$3*B6+'Beta (CTR)'!$H$5*D6+'Beta (CTR)'!$H$7*F6+'Beta (CTR)'!$H$21*T6+'Beta (CTR)'!$H$23*V6+'Beta (CTR)'!$H$24*W6+'Beta (CTR)'!$H$25*X6+'Beta (CTR)'!$H$27*Z6+'Beta (CTR)'!$H$29*AB6+'Beta (CTR)'!$H$32*AE6+'Beta (CTR)'!$H$33*AF6</f>
        <v>0.67332209240100394</v>
      </c>
      <c r="H32" s="626">
        <f>+'Beta (CTR)'!$I$4*C6+'Beta (CTR)'!$I$6*E6+'Beta (CTR)'!$I$9*H6+'Beta (CTR)'!$I$13*L6+'Beta (CTR)'!$I$14*M6+'Beta (CTR)'!$I$19*R6+'Beta (CTR)'!$I$22*U6+'Beta (CTR)'!$I$25*X6+'Beta (CTR)'!$I$30*AC6</f>
        <v>0.28042636414878536</v>
      </c>
      <c r="I32" s="626">
        <f>+'Beta (CTR)'!$J$16*O6+'Beta (CTR)'!$J$20*S6+'Beta (CTR)'!$J$21*T6+'Beta (CTR)'!$J$23*V6+'Beta (CTR)'!$J$24*W6+'Beta (CTR)'!$J$26*Y6+'Beta (CTR)'!$J$27*Z6+'Beta (CTR)'!$J$30*AC6+'Beta (CTR)'!$J$31*AD6+'Beta (CTR)'!$J$32*AE6</f>
        <v>0.54553091364517814</v>
      </c>
      <c r="J32" s="626">
        <f>+'Beta (CTR)'!$K$3*B6+'Beta (CTR)'!$K$4*C6+'Beta (CTR)'!$K$13*L6+'Beta (CTR)'!$K$15*N6+'Beta (CTR)'!$K$18*Q6+'Beta (CTR)'!$K$22*U6+'Beta (CTR)'!$K$23*V6+'Beta (CTR)'!$K$25*X6+'Beta (CTR)'!$K$27*Z6+'Beta (CTR)'!$K$28*AA6+'Beta (CTR)'!$K$29*AB6+'Beta (CTR)'!$K$30*AC6+'Beta (CTR)'!$K$31*AD6+'Beta (CTR)'!$K$32*AE6</f>
        <v>0.67741292498312677</v>
      </c>
      <c r="K32" s="626">
        <f>+'Beta (CTR)'!$L$3*B6+'Beta (CTR)'!$L$6*E6+'Beta (CTR)'!$L$25*X6+'Beta (CTR)'!$L$27*Z6</f>
        <v>0.31645951390532795</v>
      </c>
      <c r="L32" s="626">
        <f>+'Beta (CTR)'!$M$3*B6+'Beta (CTR)'!$M$4*C6+'Beta (CTR)'!$M$5*D6+'Beta (CTR)'!$M$6*E6+'Beta (CTR)'!$M$7*F6+'Beta (CTR)'!$M$8*G6+'Beta (CTR)'!$M$9*H6+'Beta (CTR)'!$M$10*I6+'Beta (CTR)'!$M$13*L6+'Beta (CTR)'!$M$14*M6+'Beta (CTR)'!$M$15*N6+'Beta (CTR)'!$M$16*O6+'Beta (CTR)'!$M$17*P6+'Beta (CTR)'!$M$18*Q6+'Beta (CTR)'!$M$21*T6+'Beta (CTR)'!$M$22*U6+'Beta (CTR)'!$M$23*V6+'Beta (CTR)'!$M$24*W6+'Beta (CTR)'!$M$25*X6+'Beta (CTR)'!$M$26*Y6+'Beta (CTR)'!$M$27*Z6+'Beta (CTR)'!$M$28*AA6+'Beta (CTR)'!$M$29*AB6+'Beta (CTR)'!$M$30*AC6+'Beta (CTR)'!$M$31*AD6+'Beta (CTR)'!$M$32*AE6+'Beta (CTR)'!$M$33*AF6+'Beta (CTR)'!$M$34*AG6+'Beta (CTR)'!$M$35*AH6+'Beta (CTR)'!$M$36*AI6+'Beta (CTR)'!$M$38*AK6+'Beta (CTR)'!$M$40*AM6</f>
        <v>0.55471229846401848</v>
      </c>
      <c r="M32" s="626">
        <f>+'Beta (CTR)'!$N$3*B6+'Beta (CTR)'!$N$4*C6+'Beta (CTR)'!$N$6*E6+'Beta (CTR)'!$N$8*G6+'Beta (CTR)'!$N$9*H6+'Beta (CTR)'!$N$10*I6+'Beta (CTR)'!$N$13*L6+'Beta (CTR)'!$N$14*M6+'Beta (CTR)'!$N$15*N6+'Beta (CTR)'!$N$16*O6+'Beta (CTR)'!$N$18*Q6+'Beta (CTR)'!$N$19*R6+'Beta (CTR)'!$N$21*T6+'Beta (CTR)'!$N$22*U6+'Beta (CTR)'!$N$23*V6+'Beta (CTR)'!$N$24*W6+'Beta (CTR)'!$N$25*X6+'Beta (CTR)'!$N$26*Y6+'Beta (CTR)'!$N$27*Z6+'Beta (CTR)'!$N$28*AA6+'Beta (CTR)'!$N$29*AB6+'Beta (CTR)'!$N$30*AC6+'Beta (CTR)'!$N$31*AD6+'Beta (CTR)'!$N$32*AE6+'Beta (CTR)'!$N$34*AG6+'Beta (CTR)'!$N$36*AI6+'Beta (CTR)'!$N$42*AO6</f>
        <v>0.56003870741190565</v>
      </c>
      <c r="N32" s="626">
        <f>+'Beta (CTR)'!$O$3*B6+'Beta (CTR)'!$O$5*D6+'Beta (CTR)'!$O$7*F6+'Beta (CTR)'!$O$8*G6+'Beta (CTR)'!$O$21*T6+'Beta (CTR)'!$O$22*U6+'Beta (CTR)'!$O$23*V6+'Beta (CTR)'!$O$24*W6+'Beta (CTR)'!$O$25*X6+'Beta (CTR)'!$O$27*Z6+'Beta (CTR)'!$O$28*AA6+'Beta (CTR)'!$O$29*AB6+'Beta (CTR)'!$O$31*AD6+'Beta (CTR)'!$O$32*AE6+'Beta (CTR)'!$O$33*AF6+'Beta (CTR)'!$O$34*AG6</f>
        <v>0.7625798336902867</v>
      </c>
      <c r="O32" s="626">
        <f>+'Beta (CTR)'!$P$3*B6+'Beta (CTR)'!$P$5*D6+'Beta (CTR)'!$P$7*F6+'Beta (CTR)'!$P$8*G6+'Beta (CTR)'!$P$21*T6+'Beta (CTR)'!$P$22*U6+'Beta (CTR)'!$P$23*V6+'Beta (CTR)'!$P$24*W6+'Beta (CTR)'!$P$25*X6+'Beta (CTR)'!$P$27*Z6+'Beta (CTR)'!$P$28*AA6+'Beta (CTR)'!$P$29*AB6+'Beta (CTR)'!$P$31*AD6+'Beta (CTR)'!$P$32*AE6+'Beta (CTR)'!$P$33*AF6+'Beta (CTR)'!$P$34*AG6+'Beta (CTR)'!$P$39*AL6</f>
        <v>0.81779615405050676</v>
      </c>
      <c r="P32" s="626">
        <f>+'Beta (CTR)'!$Q$3*B6+'Beta (CTR)'!$Q$4*C6+'Beta (CTR)'!$Q$5*D6+'Beta (CTR)'!$Q$6*E6+'Beta (CTR)'!$Q$9*H6+'Beta (CTR)'!$Q$10*I6+'Beta (CTR)'!$Q$11*J6+'Beta (CTR)'!$Q$12*K6+'Beta (CTR)'!$Q$13*L6+'Beta (CTR)'!$Q$14*M6+'Beta (CTR)'!$Q$15*N6+'Beta (CTR)'!$Q$16*O6+'Beta (CTR)'!$Q$17*P6+'Beta (CTR)'!$Q$19*R6+'Beta (CTR)'!$Q$20*S6+'Beta (CTR)'!$Q$21*T6+'Beta (CTR)'!$Q$22*U6+'Beta (CTR)'!$Q$23*V6+'Beta (CTR)'!$Q$24*W6+'Beta (CTR)'!$Q$25*X6+'Beta (CTR)'!$Q$26*Y6+'Beta (CTR)'!$Q$27*Z6+'Beta (CTR)'!$Q$28*AA6+'Beta (CTR)'!$Q$29*AB6+'Beta (CTR)'!$Q$30*AC6+'Beta (CTR)'!$Q$31*AD6+'Beta (CTR)'!$Q$32*AE6+'Beta (CTR)'!$Q$33*AF6+'Beta (CTR)'!$Q$37*AJ6+'Beta (CTR)'!$Q$41*AN6</f>
        <v>0.47612642521119891</v>
      </c>
      <c r="Q32" s="626">
        <f>+'Beta (CTR)'!$R$3*B6+'Beta (CTR)'!$R$4*C6+'Beta (CTR)'!$R$5*D6+'Beta (CTR)'!$R$6*E6+'Beta (CTR)'!$R$9*H6+'Beta (CTR)'!$R$10*I6+'Beta (CTR)'!$R$11*J6+'Beta (CTR)'!$R$12*K6+'Beta (CTR)'!$R$13*L6+'Beta (CTR)'!$R$14*M6+'Beta (CTR)'!$R$15*N6+'Beta (CTR)'!$R$16*O6+'Beta (CTR)'!$R$17*P6+'Beta (CTR)'!$R$19*R6+'Beta (CTR)'!$R$20*S6+'Beta (CTR)'!$R$21*T6+'Beta (CTR)'!$R$22*U6+'Beta (CTR)'!$R$23*V6+'Beta (CTR)'!$R$24*W6+'Beta (CTR)'!$R$25*X6+'Beta (CTR)'!$R$26*Y6+'Beta (CTR)'!$R$27*Z6+'Beta (CTR)'!$R$28*AA6+'Beta (CTR)'!$R$29*AB6+'Beta (CTR)'!$R$30*AC6+'Beta (CTR)'!$R$31*AD6+'Beta (CTR)'!$R$32*AE6+'Beta (CTR)'!$R$33*AF6+'Beta (CTR)'!$R$37*AJ6+'Beta (CTR)'!$R$41*AN6</f>
        <v>0.47612642521119891</v>
      </c>
    </row>
    <row r="33" spans="1:17" x14ac:dyDescent="0.25">
      <c r="A33" s="625">
        <v>6</v>
      </c>
      <c r="B33" s="626">
        <f>+'Beta (CTR)'!$C$3*B7+'Beta (CTR)'!$C$8*G7+'Beta (CTR)'!$C$21*T7+'Beta (CTR)'!$C$22*U7+'Beta (CTR)'!$C$23*V7+'Beta (CTR)'!$C$24*W7+'Beta (CTR)'!$C$27*Z7+'Beta (CTR)'!$C$28*AA7+'Beta (CTR)'!$C$31*AD7</f>
        <v>0.93699970810656352</v>
      </c>
      <c r="C33" s="626">
        <f>+'Beta (CTR)'!$D$3*B7+'Beta (CTR)'!$D$4*C7+'Beta (CTR)'!$D$5*D7+'Beta (CTR)'!$D$10*I7+'Beta (CTR)'!$D$17*P7+'Beta (CTR)'!$D$21*T7+'Beta (CTR)'!$D$22*U7+'Beta (CTR)'!$D$23*V7+'Beta (CTR)'!$D$24*W7+'Beta (CTR)'!$D$25*X7+'Beta (CTR)'!$D$26*Y7+'Beta (CTR)'!$D$27*Z7+'Beta (CTR)'!$D$29*AB7+'Beta (CTR)'!$D$32*AE7+'Beta (CTR)'!$D$33*AF7</f>
        <v>0.52037424594443971</v>
      </c>
      <c r="D33" s="626">
        <f>+'Beta (CTR)'!$E$3*B7+'Beta (CTR)'!$E$4*C7+'Beta (CTR)'!$E$15*N7+'Beta (CTR)'!$E$16*O7+'Beta (CTR)'!$E$21*T7+'Beta (CTR)'!$E$24*W7+'Beta (CTR)'!$E$25*X7+'Beta (CTR)'!$E$27*Z7+'Beta (CTR)'!$E$28*AA7+'Beta (CTR)'!$E$29*AB7</f>
        <v>0.5120104369829529</v>
      </c>
      <c r="E33" s="626">
        <f>+'Beta (CTR)'!$F$4*C7+'Beta (CTR)'!$F$10*I7+'Beta (CTR)'!$F$16*O7+'Beta (CTR)'!$F$21*T7+'Beta (CTR)'!$F$24*W7+'Beta (CTR)'!$F$25*X7+'Beta (CTR)'!$F$26*Y7+'Beta (CTR)'!$F$27*Z7+'Beta (CTR)'!$F$29*AB7+'Beta (CTR)'!$F$30*AC7</f>
        <v>0.5546221783367431</v>
      </c>
      <c r="F33" s="626">
        <f>+'Beta (CTR)'!$G$3*B7+'Beta (CTR)'!$G$11*J7+'Beta (CTR)'!$G$12*K7+'Beta (CTR)'!$G$21*T7+'Beta (CTR)'!$G$23*V7+'Beta (CTR)'!$G$24*W7+'Beta (CTR)'!$G$28*AA7</f>
        <v>0.68475368459024089</v>
      </c>
      <c r="G33" s="626">
        <f>+'Beta (CTR)'!$H$3*B7+'Beta (CTR)'!$H$5*D7+'Beta (CTR)'!$H$7*F7+'Beta (CTR)'!$H$21*T7+'Beta (CTR)'!$H$23*V7+'Beta (CTR)'!$H$24*W7+'Beta (CTR)'!$H$25*X7+'Beta (CTR)'!$H$27*Z7+'Beta (CTR)'!$H$29*AB7+'Beta (CTR)'!$H$32*AE7+'Beta (CTR)'!$H$33*AF7</f>
        <v>0.72689018429889696</v>
      </c>
      <c r="H33" s="626">
        <f>+'Beta (CTR)'!$I$4*C7+'Beta (CTR)'!$I$6*E7+'Beta (CTR)'!$I$9*H7+'Beta (CTR)'!$I$13*L7+'Beta (CTR)'!$I$14*M7+'Beta (CTR)'!$I$19*R7+'Beta (CTR)'!$I$22*U7+'Beta (CTR)'!$I$25*X7+'Beta (CTR)'!$I$30*AC7</f>
        <v>0.29552505660071299</v>
      </c>
      <c r="I33" s="626">
        <f>+'Beta (CTR)'!$J$16*O7+'Beta (CTR)'!$J$20*S7+'Beta (CTR)'!$J$21*T7+'Beta (CTR)'!$J$23*V7+'Beta (CTR)'!$J$24*W7+'Beta (CTR)'!$J$26*Y7+'Beta (CTR)'!$J$27*Z7+'Beta (CTR)'!$J$30*AC7+'Beta (CTR)'!$J$31*AD7+'Beta (CTR)'!$J$32*AE7</f>
        <v>0.58215477616158429</v>
      </c>
      <c r="J33" s="626">
        <f>+'Beta (CTR)'!$K$3*B7+'Beta (CTR)'!$K$4*C7+'Beta (CTR)'!$K$13*L7+'Beta (CTR)'!$K$15*N7+'Beta (CTR)'!$K$18*Q7+'Beta (CTR)'!$K$22*U7+'Beta (CTR)'!$K$23*V7+'Beta (CTR)'!$K$25*X7+'Beta (CTR)'!$K$27*Z7+'Beta (CTR)'!$K$28*AA7+'Beta (CTR)'!$K$29*AB7+'Beta (CTR)'!$K$30*AC7+'Beta (CTR)'!$K$31*AD7+'Beta (CTR)'!$K$32*AE7</f>
        <v>0.72931983399050171</v>
      </c>
      <c r="K33" s="626">
        <f>+'Beta (CTR)'!$L$3*B7+'Beta (CTR)'!$L$6*E7+'Beta (CTR)'!$L$25*X7+'Beta (CTR)'!$L$27*Z7</f>
        <v>0.29376944345382394</v>
      </c>
      <c r="L33" s="626">
        <f>+'Beta (CTR)'!$M$3*B7+'Beta (CTR)'!$M$4*C7+'Beta (CTR)'!$M$5*D7+'Beta (CTR)'!$M$6*E7+'Beta (CTR)'!$M$7*F7+'Beta (CTR)'!$M$8*G7+'Beta (CTR)'!$M$9*H7+'Beta (CTR)'!$M$10*I7+'Beta (CTR)'!$M$13*L7+'Beta (CTR)'!$M$14*M7+'Beta (CTR)'!$M$15*N7+'Beta (CTR)'!$M$16*O7+'Beta (CTR)'!$M$17*P7+'Beta (CTR)'!$M$18*Q7+'Beta (CTR)'!$M$21*T7+'Beta (CTR)'!$M$22*U7+'Beta (CTR)'!$M$23*V7+'Beta (CTR)'!$M$24*W7+'Beta (CTR)'!$M$25*X7+'Beta (CTR)'!$M$26*Y7+'Beta (CTR)'!$M$27*Z7+'Beta (CTR)'!$M$28*AA7+'Beta (CTR)'!$M$29*AB7+'Beta (CTR)'!$M$30*AC7+'Beta (CTR)'!$M$31*AD7+'Beta (CTR)'!$M$32*AE7+'Beta (CTR)'!$M$33*AF7+'Beta (CTR)'!$M$34*AG7+'Beta (CTR)'!$M$35*AH7+'Beta (CTR)'!$M$36*AI7+'Beta (CTR)'!$M$38*AK7+'Beta (CTR)'!$M$40*AM7</f>
        <v>0.59996943284790016</v>
      </c>
      <c r="M33" s="626">
        <f>+'Beta (CTR)'!$N$3*B7+'Beta (CTR)'!$N$4*C7+'Beta (CTR)'!$N$6*E7+'Beta (CTR)'!$N$8*G7+'Beta (CTR)'!$N$9*H7+'Beta (CTR)'!$N$10*I7+'Beta (CTR)'!$N$13*L7+'Beta (CTR)'!$N$14*M7+'Beta (CTR)'!$N$15*N7+'Beta (CTR)'!$N$16*O7+'Beta (CTR)'!$N$18*Q7+'Beta (CTR)'!$N$19*R7+'Beta (CTR)'!$N$21*T7+'Beta (CTR)'!$N$22*U7+'Beta (CTR)'!$N$23*V7+'Beta (CTR)'!$N$24*W7+'Beta (CTR)'!$N$25*X7+'Beta (CTR)'!$N$26*Y7+'Beta (CTR)'!$N$27*Z7+'Beta (CTR)'!$N$28*AA7+'Beta (CTR)'!$N$29*AB7+'Beta (CTR)'!$N$30*AC7+'Beta (CTR)'!$N$31*AD7+'Beta (CTR)'!$N$32*AE7+'Beta (CTR)'!$N$34*AG7+'Beta (CTR)'!$N$36*AI7+'Beta (CTR)'!$N$42*AO7</f>
        <v>0.6110278809163735</v>
      </c>
      <c r="N33" s="626">
        <f>+'Beta (CTR)'!$O$3*B7+'Beta (CTR)'!$O$5*D7+'Beta (CTR)'!$O$7*F7+'Beta (CTR)'!$O$8*G7+'Beta (CTR)'!$O$21*T7+'Beta (CTR)'!$O$22*U7+'Beta (CTR)'!$O$23*V7+'Beta (CTR)'!$O$24*W7+'Beta (CTR)'!$O$25*X7+'Beta (CTR)'!$O$27*Z7+'Beta (CTR)'!$O$28*AA7+'Beta (CTR)'!$O$29*AB7+'Beta (CTR)'!$O$31*AD7+'Beta (CTR)'!$O$32*AE7+'Beta (CTR)'!$O$33*AF7+'Beta (CTR)'!$O$34*AG7</f>
        <v>0.82539906016581033</v>
      </c>
      <c r="O33" s="626">
        <f>+'Beta (CTR)'!$P$3*B7+'Beta (CTR)'!$P$5*D7+'Beta (CTR)'!$P$7*F7+'Beta (CTR)'!$P$8*G7+'Beta (CTR)'!$P$21*T7+'Beta (CTR)'!$P$22*U7+'Beta (CTR)'!$P$23*V7+'Beta (CTR)'!$P$24*W7+'Beta (CTR)'!$P$25*X7+'Beta (CTR)'!$P$27*Z7+'Beta (CTR)'!$P$28*AA7+'Beta (CTR)'!$P$29*AB7+'Beta (CTR)'!$P$31*AD7+'Beta (CTR)'!$P$32*AE7+'Beta (CTR)'!$P$33*AF7+'Beta (CTR)'!$P$34*AG7+'Beta (CTR)'!$P$39*AL7</f>
        <v>0.87406896455015237</v>
      </c>
      <c r="P33" s="626">
        <f>+'Beta (CTR)'!$Q$3*B7+'Beta (CTR)'!$Q$4*C7+'Beta (CTR)'!$Q$5*D7+'Beta (CTR)'!$Q$6*E7+'Beta (CTR)'!$Q$9*H7+'Beta (CTR)'!$Q$10*I7+'Beta (CTR)'!$Q$11*J7+'Beta (CTR)'!$Q$12*K7+'Beta (CTR)'!$Q$13*L7+'Beta (CTR)'!$Q$14*M7+'Beta (CTR)'!$Q$15*N7+'Beta (CTR)'!$Q$16*O7+'Beta (CTR)'!$Q$17*P7+'Beta (CTR)'!$Q$19*R7+'Beta (CTR)'!$Q$20*S7+'Beta (CTR)'!$Q$21*T7+'Beta (CTR)'!$Q$22*U7+'Beta (CTR)'!$Q$23*V7+'Beta (CTR)'!$Q$24*W7+'Beta (CTR)'!$Q$25*X7+'Beta (CTR)'!$Q$26*Y7+'Beta (CTR)'!$Q$27*Z7+'Beta (CTR)'!$Q$28*AA7+'Beta (CTR)'!$Q$29*AB7+'Beta (CTR)'!$Q$30*AC7+'Beta (CTR)'!$Q$31*AD7+'Beta (CTR)'!$Q$32*AE7+'Beta (CTR)'!$Q$33*AF7+'Beta (CTR)'!$Q$37*AJ7+'Beta (CTR)'!$Q$41*AN7</f>
        <v>0.5070378595204289</v>
      </c>
      <c r="Q33" s="626">
        <f>+'Beta (CTR)'!$R$3*B7+'Beta (CTR)'!$R$4*C7+'Beta (CTR)'!$R$5*D7+'Beta (CTR)'!$R$6*E7+'Beta (CTR)'!$R$9*H7+'Beta (CTR)'!$R$10*I7+'Beta (CTR)'!$R$11*J7+'Beta (CTR)'!$R$12*K7+'Beta (CTR)'!$R$13*L7+'Beta (CTR)'!$R$14*M7+'Beta (CTR)'!$R$15*N7+'Beta (CTR)'!$R$16*O7+'Beta (CTR)'!$R$17*P7+'Beta (CTR)'!$R$19*R7+'Beta (CTR)'!$R$20*S7+'Beta (CTR)'!$R$21*T7+'Beta (CTR)'!$R$22*U7+'Beta (CTR)'!$R$23*V7+'Beta (CTR)'!$R$24*W7+'Beta (CTR)'!$R$25*X7+'Beta (CTR)'!$R$26*Y7+'Beta (CTR)'!$R$27*Z7+'Beta (CTR)'!$R$28*AA7+'Beta (CTR)'!$R$29*AB7+'Beta (CTR)'!$R$30*AC7+'Beta (CTR)'!$R$31*AD7+'Beta (CTR)'!$R$32*AE7+'Beta (CTR)'!$R$33*AF7+'Beta (CTR)'!$R$37*AJ7+'Beta (CTR)'!$R$41*AN7</f>
        <v>0.5070378595204289</v>
      </c>
    </row>
    <row r="34" spans="1:17" x14ac:dyDescent="0.25">
      <c r="A34" s="625">
        <v>7</v>
      </c>
      <c r="B34" s="626">
        <f>+'Beta (CTR)'!$C$3*B8+'Beta (CTR)'!$C$8*G8+'Beta (CTR)'!$C$21*T8+'Beta (CTR)'!$C$22*U8+'Beta (CTR)'!$C$23*V8+'Beta (CTR)'!$C$24*W8+'Beta (CTR)'!$C$27*Z8+'Beta (CTR)'!$C$28*AA8+'Beta (CTR)'!$C$31*AD8</f>
        <v>0.86073168747511064</v>
      </c>
      <c r="C34" s="626">
        <f>+'Beta (CTR)'!$D$3*B8+'Beta (CTR)'!$D$4*C8+'Beta (CTR)'!$D$5*D8+'Beta (CTR)'!$D$10*I8+'Beta (CTR)'!$D$17*P8+'Beta (CTR)'!$D$21*T8+'Beta (CTR)'!$D$22*U8+'Beta (CTR)'!$D$23*V8+'Beta (CTR)'!$D$24*W8+'Beta (CTR)'!$D$25*X8+'Beta (CTR)'!$D$26*Y8+'Beta (CTR)'!$D$27*Z8+'Beta (CTR)'!$D$29*AB8+'Beta (CTR)'!$D$32*AE8+'Beta (CTR)'!$D$33*AF8</f>
        <v>0.8709136662325222</v>
      </c>
      <c r="D34" s="626">
        <f>+'Beta (CTR)'!$E$3*B8+'Beta (CTR)'!$E$4*C8+'Beta (CTR)'!$E$15*N8+'Beta (CTR)'!$E$16*O8+'Beta (CTR)'!$E$21*T8+'Beta (CTR)'!$E$24*W8+'Beta (CTR)'!$E$25*X8+'Beta (CTR)'!$E$27*Z8+'Beta (CTR)'!$E$28*AA8+'Beta (CTR)'!$E$29*AB8</f>
        <v>0.72773338257233844</v>
      </c>
      <c r="E34" s="626">
        <f>+'Beta (CTR)'!$F$4*C8+'Beta (CTR)'!$F$10*I8+'Beta (CTR)'!$F$16*O8+'Beta (CTR)'!$F$21*T8+'Beta (CTR)'!$F$24*W8+'Beta (CTR)'!$F$25*X8+'Beta (CTR)'!$F$26*Y8+'Beta (CTR)'!$F$27*Z8+'Beta (CTR)'!$F$29*AB8+'Beta (CTR)'!$F$30*AC8</f>
        <v>0.76358005701877818</v>
      </c>
      <c r="F34" s="626">
        <f>+'Beta (CTR)'!$G$3*B8+'Beta (CTR)'!$G$11*J8+'Beta (CTR)'!$G$12*K8+'Beta (CTR)'!$G$21*T8+'Beta (CTR)'!$G$23*V8+'Beta (CTR)'!$G$24*W8+'Beta (CTR)'!$G$28*AA8</f>
        <v>0.88875801135433186</v>
      </c>
      <c r="G34" s="626">
        <f>+'Beta (CTR)'!$H$3*B8+'Beta (CTR)'!$H$5*D8+'Beta (CTR)'!$H$7*F8+'Beta (CTR)'!$H$21*T8+'Beta (CTR)'!$H$23*V8+'Beta (CTR)'!$H$24*W8+'Beta (CTR)'!$H$25*X8+'Beta (CTR)'!$H$27*Z8+'Beta (CTR)'!$H$29*AB8+'Beta (CTR)'!$H$32*AE8+'Beta (CTR)'!$H$33*AF8</f>
        <v>0.79308482672898684</v>
      </c>
      <c r="H34" s="626">
        <f>+'Beta (CTR)'!$I$4*C8+'Beta (CTR)'!$I$6*E8+'Beta (CTR)'!$I$9*H8+'Beta (CTR)'!$I$13*L8+'Beta (CTR)'!$I$14*M8+'Beta (CTR)'!$I$19*R8+'Beta (CTR)'!$I$22*U8+'Beta (CTR)'!$I$25*X8+'Beta (CTR)'!$I$30*AC8</f>
        <v>0.35116596707486081</v>
      </c>
      <c r="I34" s="626">
        <f>+'Beta (CTR)'!$J$16*O8+'Beta (CTR)'!$J$20*S8+'Beta (CTR)'!$J$21*T8+'Beta (CTR)'!$J$23*V8+'Beta (CTR)'!$J$24*W8+'Beta (CTR)'!$J$26*Y8+'Beta (CTR)'!$J$27*Z8+'Beta (CTR)'!$J$30*AC8+'Beta (CTR)'!$J$31*AD8+'Beta (CTR)'!$J$32*AE8</f>
        <v>1.1213721239788832</v>
      </c>
      <c r="J34" s="626">
        <f>+'Beta (CTR)'!$K$3*B8+'Beta (CTR)'!$K$4*C8+'Beta (CTR)'!$K$13*L8+'Beta (CTR)'!$K$15*N8+'Beta (CTR)'!$K$18*Q8+'Beta (CTR)'!$K$22*U8+'Beta (CTR)'!$K$23*V8+'Beta (CTR)'!$K$25*X8+'Beta (CTR)'!$K$27*Z8+'Beta (CTR)'!$K$28*AA8+'Beta (CTR)'!$K$29*AB8+'Beta (CTR)'!$K$30*AC8+'Beta (CTR)'!$K$31*AD8+'Beta (CTR)'!$K$32*AE8</f>
        <v>0.83416121072117044</v>
      </c>
      <c r="K34" s="626">
        <f>+'Beta (CTR)'!$L$3*B8+'Beta (CTR)'!$L$6*E8+'Beta (CTR)'!$L$25*X8+'Beta (CTR)'!$L$27*Z8</f>
        <v>0.23231008880718473</v>
      </c>
      <c r="L34" s="626">
        <f>+'Beta (CTR)'!$M$3*B8+'Beta (CTR)'!$M$4*C8+'Beta (CTR)'!$M$5*D8+'Beta (CTR)'!$M$6*E8+'Beta (CTR)'!$M$7*F8+'Beta (CTR)'!$M$8*G8+'Beta (CTR)'!$M$9*H8+'Beta (CTR)'!$M$10*I8+'Beta (CTR)'!$M$13*L8+'Beta (CTR)'!$M$14*M8+'Beta (CTR)'!$M$15*N8+'Beta (CTR)'!$M$16*O8+'Beta (CTR)'!$M$17*P8+'Beta (CTR)'!$M$18*Q8+'Beta (CTR)'!$M$21*T8+'Beta (CTR)'!$M$22*U8+'Beta (CTR)'!$M$23*V8+'Beta (CTR)'!$M$24*W8+'Beta (CTR)'!$M$25*X8+'Beta (CTR)'!$M$26*Y8+'Beta (CTR)'!$M$27*Z8+'Beta (CTR)'!$M$28*AA8+'Beta (CTR)'!$M$29*AB8+'Beta (CTR)'!$M$30*AC8+'Beta (CTR)'!$M$31*AD8+'Beta (CTR)'!$M$32*AE8+'Beta (CTR)'!$M$33*AF8+'Beta (CTR)'!$M$34*AG8+'Beta (CTR)'!$M$35*AH8+'Beta (CTR)'!$M$36*AI8+'Beta (CTR)'!$M$38*AK8+'Beta (CTR)'!$M$40*AM8</f>
        <v>0.71009565505671279</v>
      </c>
      <c r="M34" s="626">
        <f>+'Beta (CTR)'!$N$3*B8+'Beta (CTR)'!$N$4*C8+'Beta (CTR)'!$N$6*E8+'Beta (CTR)'!$N$8*G8+'Beta (CTR)'!$N$9*H8+'Beta (CTR)'!$N$10*I8+'Beta (CTR)'!$N$13*L8+'Beta (CTR)'!$N$14*M8+'Beta (CTR)'!$N$15*N8+'Beta (CTR)'!$N$16*O8+'Beta (CTR)'!$N$18*Q8+'Beta (CTR)'!$N$19*R8+'Beta (CTR)'!$N$21*T8+'Beta (CTR)'!$N$22*U8+'Beta (CTR)'!$N$23*V8+'Beta (CTR)'!$N$24*W8+'Beta (CTR)'!$N$25*X8+'Beta (CTR)'!$N$26*Y8+'Beta (CTR)'!$N$27*Z8+'Beta (CTR)'!$N$28*AA8+'Beta (CTR)'!$N$29*AB8+'Beta (CTR)'!$N$30*AC8+'Beta (CTR)'!$N$31*AD8+'Beta (CTR)'!$N$32*AE8+'Beta (CTR)'!$N$34*AG8+'Beta (CTR)'!$N$36*AI8+'Beta (CTR)'!$N$42*AO8</f>
        <v>0.68493411605095789</v>
      </c>
      <c r="N34" s="626">
        <f>+'Beta (CTR)'!$O$3*B8+'Beta (CTR)'!$O$5*D8+'Beta (CTR)'!$O$7*F8+'Beta (CTR)'!$O$8*G8+'Beta (CTR)'!$O$21*T8+'Beta (CTR)'!$O$22*U8+'Beta (CTR)'!$O$23*V8+'Beta (CTR)'!$O$24*W8+'Beta (CTR)'!$O$25*X8+'Beta (CTR)'!$O$27*Z8+'Beta (CTR)'!$O$28*AA8+'Beta (CTR)'!$O$29*AB8+'Beta (CTR)'!$O$31*AD8+'Beta (CTR)'!$O$32*AE8+'Beta (CTR)'!$O$33*AF8+'Beta (CTR)'!$O$34*AG8</f>
        <v>0.89559036203784959</v>
      </c>
      <c r="O34" s="626">
        <f>+'Beta (CTR)'!$P$3*B8+'Beta (CTR)'!$P$5*D8+'Beta (CTR)'!$P$7*F8+'Beta (CTR)'!$P$8*G8+'Beta (CTR)'!$P$21*T8+'Beta (CTR)'!$P$22*U8+'Beta (CTR)'!$P$23*V8+'Beta (CTR)'!$P$24*W8+'Beta (CTR)'!$P$25*X8+'Beta (CTR)'!$P$27*Z8+'Beta (CTR)'!$P$28*AA8+'Beta (CTR)'!$P$29*AB8+'Beta (CTR)'!$P$31*AD8+'Beta (CTR)'!$P$32*AE8+'Beta (CTR)'!$P$33*AF8+'Beta (CTR)'!$P$34*AG8+'Beta (CTR)'!$P$39*AL8</f>
        <v>0.93676071728515997</v>
      </c>
      <c r="P34" s="626">
        <f>+'Beta (CTR)'!$Q$3*B8+'Beta (CTR)'!$Q$4*C8+'Beta (CTR)'!$Q$5*D8+'Beta (CTR)'!$Q$6*E8+'Beta (CTR)'!$Q$9*H8+'Beta (CTR)'!$Q$10*I8+'Beta (CTR)'!$Q$11*J8+'Beta (CTR)'!$Q$12*K8+'Beta (CTR)'!$Q$13*L8+'Beta (CTR)'!$Q$14*M8+'Beta (CTR)'!$Q$15*N8+'Beta (CTR)'!$Q$16*O8+'Beta (CTR)'!$Q$17*P8+'Beta (CTR)'!$Q$19*R8+'Beta (CTR)'!$Q$20*S8+'Beta (CTR)'!$Q$21*T8+'Beta (CTR)'!$Q$22*U8+'Beta (CTR)'!$Q$23*V8+'Beta (CTR)'!$Q$24*W8+'Beta (CTR)'!$Q$25*X8+'Beta (CTR)'!$Q$26*Y8+'Beta (CTR)'!$Q$27*Z8+'Beta (CTR)'!$Q$28*AA8+'Beta (CTR)'!$Q$29*AB8+'Beta (CTR)'!$Q$30*AC8+'Beta (CTR)'!$Q$31*AD8+'Beta (CTR)'!$Q$32*AE8+'Beta (CTR)'!$Q$33*AF8+'Beta (CTR)'!$Q$37*AJ8+'Beta (CTR)'!$Q$41*AN8</f>
        <v>0.81546891706766045</v>
      </c>
      <c r="Q34" s="626">
        <f>+'Beta (CTR)'!$R$3*B8+'Beta (CTR)'!$R$4*C8+'Beta (CTR)'!$R$5*D8+'Beta (CTR)'!$R$6*E8+'Beta (CTR)'!$R$9*H8+'Beta (CTR)'!$R$10*I8+'Beta (CTR)'!$R$11*J8+'Beta (CTR)'!$R$12*K8+'Beta (CTR)'!$R$13*L8+'Beta (CTR)'!$R$14*M8+'Beta (CTR)'!$R$15*N8+'Beta (CTR)'!$R$16*O8+'Beta (CTR)'!$R$17*P8+'Beta (CTR)'!$R$19*R8+'Beta (CTR)'!$R$20*S8+'Beta (CTR)'!$R$21*T8+'Beta (CTR)'!$R$22*U8+'Beta (CTR)'!$R$23*V8+'Beta (CTR)'!$R$24*W8+'Beta (CTR)'!$R$25*X8+'Beta (CTR)'!$R$26*Y8+'Beta (CTR)'!$R$27*Z8+'Beta (CTR)'!$R$28*AA8+'Beta (CTR)'!$R$29*AB8+'Beta (CTR)'!$R$30*AC8+'Beta (CTR)'!$R$31*AD8+'Beta (CTR)'!$R$32*AE8+'Beta (CTR)'!$R$33*AF8+'Beta (CTR)'!$R$37*AJ8+'Beta (CTR)'!$R$41*AN8</f>
        <v>0.81546891706766045</v>
      </c>
    </row>
    <row r="35" spans="1:17" x14ac:dyDescent="0.25">
      <c r="A35" s="625">
        <v>8</v>
      </c>
      <c r="B35" s="626">
        <f>+'Beta (CTR)'!$C$3*B9+'Beta (CTR)'!$C$8*G9+'Beta (CTR)'!$C$21*T9+'Beta (CTR)'!$C$22*U9+'Beta (CTR)'!$C$23*V9+'Beta (CTR)'!$C$24*W9+'Beta (CTR)'!$C$27*Z9+'Beta (CTR)'!$C$28*AA9+'Beta (CTR)'!$C$31*AD9</f>
        <v>0.74345086785049019</v>
      </c>
      <c r="C35" s="626">
        <f>+'Beta (CTR)'!$D$3*B9+'Beta (CTR)'!$D$4*C9+'Beta (CTR)'!$D$5*D9+'Beta (CTR)'!$D$10*I9+'Beta (CTR)'!$D$17*P9+'Beta (CTR)'!$D$21*T9+'Beta (CTR)'!$D$22*U9+'Beta (CTR)'!$D$23*V9+'Beta (CTR)'!$D$24*W9+'Beta (CTR)'!$D$25*X9+'Beta (CTR)'!$D$26*Y9+'Beta (CTR)'!$D$27*Z9+'Beta (CTR)'!$D$29*AB9+'Beta (CTR)'!$D$32*AE9+'Beta (CTR)'!$D$33*AF9</f>
        <v>0.7725003139396931</v>
      </c>
      <c r="D35" s="626">
        <f>+'Beta (CTR)'!$E$3*B9+'Beta (CTR)'!$E$4*C9+'Beta (CTR)'!$E$15*N9+'Beta (CTR)'!$E$16*O9+'Beta (CTR)'!$E$21*T9+'Beta (CTR)'!$E$24*W9+'Beta (CTR)'!$E$25*X9+'Beta (CTR)'!$E$27*Z9+'Beta (CTR)'!$E$28*AA9+'Beta (CTR)'!$E$29*AB9</f>
        <v>0.90409723167339062</v>
      </c>
      <c r="E35" s="626">
        <f>+'Beta (CTR)'!$F$4*C9+'Beta (CTR)'!$F$10*I9+'Beta (CTR)'!$F$16*O9+'Beta (CTR)'!$F$21*T9+'Beta (CTR)'!$F$24*W9+'Beta (CTR)'!$F$25*X9+'Beta (CTR)'!$F$26*Y9+'Beta (CTR)'!$F$27*Z9+'Beta (CTR)'!$F$29*AB9+'Beta (CTR)'!$F$30*AC9</f>
        <v>0.8983527415194853</v>
      </c>
      <c r="F35" s="626">
        <f>+'Beta (CTR)'!$G$3*B9+'Beta (CTR)'!$G$11*J9+'Beta (CTR)'!$G$12*K9+'Beta (CTR)'!$G$21*T9+'Beta (CTR)'!$G$23*V9+'Beta (CTR)'!$G$24*W9+'Beta (CTR)'!$G$28*AA9</f>
        <v>0.68100563772797751</v>
      </c>
      <c r="G35" s="626">
        <f>+'Beta (CTR)'!$H$3*B9+'Beta (CTR)'!$H$5*D9+'Beta (CTR)'!$H$7*F9+'Beta (CTR)'!$H$21*T9+'Beta (CTR)'!$H$23*V9+'Beta (CTR)'!$H$24*W9+'Beta (CTR)'!$H$25*X9+'Beta (CTR)'!$H$27*Z9+'Beta (CTR)'!$H$29*AB9+'Beta (CTR)'!$H$32*AE9+'Beta (CTR)'!$H$33*AF9</f>
        <v>0.7284781909968896</v>
      </c>
      <c r="H35" s="626">
        <f>+'Beta (CTR)'!$I$4*C9+'Beta (CTR)'!$I$6*E9+'Beta (CTR)'!$I$9*H9+'Beta (CTR)'!$I$13*L9+'Beta (CTR)'!$I$14*M9+'Beta (CTR)'!$I$19*R9+'Beta (CTR)'!$I$22*U9+'Beta (CTR)'!$I$25*X9+'Beta (CTR)'!$I$30*AC9</f>
        <v>0.59589862985691944</v>
      </c>
      <c r="I35" s="626">
        <f>+'Beta (CTR)'!$J$16*O9+'Beta (CTR)'!$J$20*S9+'Beta (CTR)'!$J$21*T9+'Beta (CTR)'!$J$23*V9+'Beta (CTR)'!$J$24*W9+'Beta (CTR)'!$J$26*Y9+'Beta (CTR)'!$J$27*Z9+'Beta (CTR)'!$J$30*AC9+'Beta (CTR)'!$J$31*AD9+'Beta (CTR)'!$J$32*AE9</f>
        <v>1.0608894840435843</v>
      </c>
      <c r="J35" s="626">
        <f>+'Beta (CTR)'!$K$3*B9+'Beta (CTR)'!$K$4*C9+'Beta (CTR)'!$K$13*L9+'Beta (CTR)'!$K$15*N9+'Beta (CTR)'!$K$18*Q9+'Beta (CTR)'!$K$22*U9+'Beta (CTR)'!$K$23*V9+'Beta (CTR)'!$K$25*X9+'Beta (CTR)'!$K$27*Z9+'Beta (CTR)'!$K$28*AA9+'Beta (CTR)'!$K$29*AB9+'Beta (CTR)'!$K$30*AC9+'Beta (CTR)'!$K$31*AD9+'Beta (CTR)'!$K$32*AE9</f>
        <v>0.79487388590415153</v>
      </c>
      <c r="K35" s="626">
        <f>+'Beta (CTR)'!$L$3*B9+'Beta (CTR)'!$L$6*E9+'Beta (CTR)'!$L$25*X9+'Beta (CTR)'!$L$27*Z9</f>
        <v>0.43944258217802346</v>
      </c>
      <c r="L35" s="626">
        <f>+'Beta (CTR)'!$M$3*B9+'Beta (CTR)'!$M$4*C9+'Beta (CTR)'!$M$5*D9+'Beta (CTR)'!$M$6*E9+'Beta (CTR)'!$M$7*F9+'Beta (CTR)'!$M$8*G9+'Beta (CTR)'!$M$9*H9+'Beta (CTR)'!$M$10*I9+'Beta (CTR)'!$M$13*L9+'Beta (CTR)'!$M$14*M9+'Beta (CTR)'!$M$15*N9+'Beta (CTR)'!$M$16*O9+'Beta (CTR)'!$M$17*P9+'Beta (CTR)'!$M$18*Q9+'Beta (CTR)'!$M$21*T9+'Beta (CTR)'!$M$22*U9+'Beta (CTR)'!$M$23*V9+'Beta (CTR)'!$M$24*W9+'Beta (CTR)'!$M$25*X9+'Beta (CTR)'!$M$26*Y9+'Beta (CTR)'!$M$27*Z9+'Beta (CTR)'!$M$28*AA9+'Beta (CTR)'!$M$29*AB9+'Beta (CTR)'!$M$30*AC9+'Beta (CTR)'!$M$31*AD9+'Beta (CTR)'!$M$32*AE9+'Beta (CTR)'!$M$33*AF9+'Beta (CTR)'!$M$34*AG9+'Beta (CTR)'!$M$35*AH9+'Beta (CTR)'!$M$36*AI9+'Beta (CTR)'!$M$38*AK9+'Beta (CTR)'!$M$40*AM9</f>
        <v>0.7761575255174582</v>
      </c>
      <c r="M35" s="626">
        <f>+'Beta (CTR)'!$N$3*B9+'Beta (CTR)'!$N$4*C9+'Beta (CTR)'!$N$6*E9+'Beta (CTR)'!$N$8*G9+'Beta (CTR)'!$N$9*H9+'Beta (CTR)'!$N$10*I9+'Beta (CTR)'!$N$13*L9+'Beta (CTR)'!$N$14*M9+'Beta (CTR)'!$N$15*N9+'Beta (CTR)'!$N$16*O9+'Beta (CTR)'!$N$18*Q9+'Beta (CTR)'!$N$19*R9+'Beta (CTR)'!$N$21*T9+'Beta (CTR)'!$N$22*U9+'Beta (CTR)'!$N$23*V9+'Beta (CTR)'!$N$24*W9+'Beta (CTR)'!$N$25*X9+'Beta (CTR)'!$N$26*Y9+'Beta (CTR)'!$N$27*Z9+'Beta (CTR)'!$N$28*AA9+'Beta (CTR)'!$N$29*AB9+'Beta (CTR)'!$N$30*AC9+'Beta (CTR)'!$N$31*AD9+'Beta (CTR)'!$N$32*AE9+'Beta (CTR)'!$N$34*AG9+'Beta (CTR)'!$N$36*AI9+'Beta (CTR)'!$N$42*AO9</f>
        <v>0.85562161459430575</v>
      </c>
      <c r="N35" s="626">
        <f>+'Beta (CTR)'!$O$3*B9+'Beta (CTR)'!$O$5*D9+'Beta (CTR)'!$O$7*F9+'Beta (CTR)'!$O$8*G9+'Beta (CTR)'!$O$21*T9+'Beta (CTR)'!$O$22*U9+'Beta (CTR)'!$O$23*V9+'Beta (CTR)'!$O$24*W9+'Beta (CTR)'!$O$25*X9+'Beta (CTR)'!$O$27*Z9+'Beta (CTR)'!$O$28*AA9+'Beta (CTR)'!$O$29*AB9+'Beta (CTR)'!$O$31*AD9+'Beta (CTR)'!$O$32*AE9+'Beta (CTR)'!$O$33*AF9+'Beta (CTR)'!$O$34*AG9</f>
        <v>0.91316655021570048</v>
      </c>
      <c r="O35" s="626">
        <f>+'Beta (CTR)'!$P$3*B9+'Beta (CTR)'!$P$5*D9+'Beta (CTR)'!$P$7*F9+'Beta (CTR)'!$P$8*G9+'Beta (CTR)'!$P$21*T9+'Beta (CTR)'!$P$22*U9+'Beta (CTR)'!$P$23*V9+'Beta (CTR)'!$P$24*W9+'Beta (CTR)'!$P$25*X9+'Beta (CTR)'!$P$27*Z9+'Beta (CTR)'!$P$28*AA9+'Beta (CTR)'!$P$29*AB9+'Beta (CTR)'!$P$31*AD9+'Beta (CTR)'!$P$32*AE9+'Beta (CTR)'!$P$33*AF9+'Beta (CTR)'!$P$34*AG9+'Beta (CTR)'!$P$39*AL9</f>
        <v>0.96949944483874628</v>
      </c>
      <c r="P35" s="626">
        <f>+'Beta (CTR)'!$Q$3*B9+'Beta (CTR)'!$Q$4*C9+'Beta (CTR)'!$Q$5*D9+'Beta (CTR)'!$Q$6*E9+'Beta (CTR)'!$Q$9*H9+'Beta (CTR)'!$Q$10*I9+'Beta (CTR)'!$Q$11*J9+'Beta (CTR)'!$Q$12*K9+'Beta (CTR)'!$Q$13*L9+'Beta (CTR)'!$Q$14*M9+'Beta (CTR)'!$Q$15*N9+'Beta (CTR)'!$Q$16*O9+'Beta (CTR)'!$Q$17*P9+'Beta (CTR)'!$Q$19*R9+'Beta (CTR)'!$Q$20*S9+'Beta (CTR)'!$Q$21*T9+'Beta (CTR)'!$Q$22*U9+'Beta (CTR)'!$Q$23*V9+'Beta (CTR)'!$Q$24*W9+'Beta (CTR)'!$Q$25*X9+'Beta (CTR)'!$Q$26*Y9+'Beta (CTR)'!$Q$27*Z9+'Beta (CTR)'!$Q$28*AA9+'Beta (CTR)'!$Q$29*AB9+'Beta (CTR)'!$Q$30*AC9+'Beta (CTR)'!$Q$31*AD9+'Beta (CTR)'!$Q$32*AE9+'Beta (CTR)'!$Q$33*AF9+'Beta (CTR)'!$Q$37*AJ9+'Beta (CTR)'!$Q$41*AN9</f>
        <v>0.79043339788122591</v>
      </c>
      <c r="Q35" s="626">
        <f>+'Beta (CTR)'!$R$3*B9+'Beta (CTR)'!$R$4*C9+'Beta (CTR)'!$R$5*D9+'Beta (CTR)'!$R$6*E9+'Beta (CTR)'!$R$9*H9+'Beta (CTR)'!$R$10*I9+'Beta (CTR)'!$R$11*J9+'Beta (CTR)'!$R$12*K9+'Beta (CTR)'!$R$13*L9+'Beta (CTR)'!$R$14*M9+'Beta (CTR)'!$R$15*N9+'Beta (CTR)'!$R$16*O9+'Beta (CTR)'!$R$17*P9+'Beta (CTR)'!$R$19*R9+'Beta (CTR)'!$R$20*S9+'Beta (CTR)'!$R$21*T9+'Beta (CTR)'!$R$22*U9+'Beta (CTR)'!$R$23*V9+'Beta (CTR)'!$R$24*W9+'Beta (CTR)'!$R$25*X9+'Beta (CTR)'!$R$26*Y9+'Beta (CTR)'!$R$27*Z9+'Beta (CTR)'!$R$28*AA9+'Beta (CTR)'!$R$29*AB9+'Beta (CTR)'!$R$30*AC9+'Beta (CTR)'!$R$31*AD9+'Beta (CTR)'!$R$32*AE9+'Beta (CTR)'!$R$33*AF9+'Beta (CTR)'!$R$37*AJ9+'Beta (CTR)'!$R$41*AN9</f>
        <v>0.79043339788122591</v>
      </c>
    </row>
    <row r="36" spans="1:17" x14ac:dyDescent="0.25">
      <c r="A36" s="625">
        <v>9</v>
      </c>
      <c r="B36" s="626">
        <f>+'Beta (CTR)'!$C$3*B10+'Beta (CTR)'!$C$8*G10+'Beta (CTR)'!$C$21*T10+'Beta (CTR)'!$C$22*U10+'Beta (CTR)'!$C$23*V10+'Beta (CTR)'!$C$24*W10+'Beta (CTR)'!$C$27*Z10+'Beta (CTR)'!$C$28*AA10+'Beta (CTR)'!$C$31*AD10</f>
        <v>0.64097348797349341</v>
      </c>
      <c r="C36" s="626">
        <f>+'Beta (CTR)'!$D$3*B10+'Beta (CTR)'!$D$4*C10+'Beta (CTR)'!$D$5*D10+'Beta (CTR)'!$D$10*I10+'Beta (CTR)'!$D$17*P10+'Beta (CTR)'!$D$21*T10+'Beta (CTR)'!$D$22*U10+'Beta (CTR)'!$D$23*V10+'Beta (CTR)'!$D$24*W10+'Beta (CTR)'!$D$25*X10+'Beta (CTR)'!$D$26*Y10+'Beta (CTR)'!$D$27*Z10+'Beta (CTR)'!$D$29*AB10+'Beta (CTR)'!$D$32*AE10+'Beta (CTR)'!$D$33*AF10</f>
        <v>0.72435286101111396</v>
      </c>
      <c r="D36" s="626">
        <f>+'Beta (CTR)'!$E$3*B10+'Beta (CTR)'!$E$4*C10+'Beta (CTR)'!$E$15*N10+'Beta (CTR)'!$E$16*O10+'Beta (CTR)'!$E$21*T10+'Beta (CTR)'!$E$24*W10+'Beta (CTR)'!$E$25*X10+'Beta (CTR)'!$E$27*Z10+'Beta (CTR)'!$E$28*AA10+'Beta (CTR)'!$E$29*AB10</f>
        <v>1.1256473131691904</v>
      </c>
      <c r="E36" s="626">
        <f>+'Beta (CTR)'!$F$4*C10+'Beta (CTR)'!$F$10*I10+'Beta (CTR)'!$F$16*O10+'Beta (CTR)'!$F$21*T10+'Beta (CTR)'!$F$24*W10+'Beta (CTR)'!$F$25*X10+'Beta (CTR)'!$F$26*Y10+'Beta (CTR)'!$F$27*Z10+'Beta (CTR)'!$F$29*AB10+'Beta (CTR)'!$F$30*AC10</f>
        <v>1.089970109821625</v>
      </c>
      <c r="F36" s="626">
        <f>+'Beta (CTR)'!$G$3*B10+'Beta (CTR)'!$G$11*J10+'Beta (CTR)'!$G$12*K10+'Beta (CTR)'!$G$21*T10+'Beta (CTR)'!$G$23*V10+'Beta (CTR)'!$G$24*W10+'Beta (CTR)'!$G$28*AA10</f>
        <v>0.60780614592639015</v>
      </c>
      <c r="G36" s="626">
        <f>+'Beta (CTR)'!$H$3*B10+'Beta (CTR)'!$H$5*D10+'Beta (CTR)'!$H$7*F10+'Beta (CTR)'!$H$21*T10+'Beta (CTR)'!$H$23*V10+'Beta (CTR)'!$H$24*W10+'Beta (CTR)'!$H$25*X10+'Beta (CTR)'!$H$27*Z10+'Beta (CTR)'!$H$29*AB10+'Beta (CTR)'!$H$32*AE10+'Beta (CTR)'!$H$33*AF10</f>
        <v>0.75777397500904942</v>
      </c>
      <c r="H36" s="626">
        <f>+'Beta (CTR)'!$I$4*C10+'Beta (CTR)'!$I$6*E10+'Beta (CTR)'!$I$9*H10+'Beta (CTR)'!$I$13*L10+'Beta (CTR)'!$I$14*M10+'Beta (CTR)'!$I$19*R10+'Beta (CTR)'!$I$22*U10+'Beta (CTR)'!$I$25*X10+'Beta (CTR)'!$I$30*AC10</f>
        <v>1.1943338903374947</v>
      </c>
      <c r="I36" s="626">
        <f>+'Beta (CTR)'!$J$16*O10+'Beta (CTR)'!$J$20*S10+'Beta (CTR)'!$J$21*T10+'Beta (CTR)'!$J$23*V10+'Beta (CTR)'!$J$24*W10+'Beta (CTR)'!$J$26*Y10+'Beta (CTR)'!$J$27*Z10+'Beta (CTR)'!$J$30*AC10+'Beta (CTR)'!$J$31*AD10+'Beta (CTR)'!$J$32*AE10</f>
        <v>0.85493699495994502</v>
      </c>
      <c r="J36" s="626">
        <f>+'Beta (CTR)'!$K$3*B10+'Beta (CTR)'!$K$4*C10+'Beta (CTR)'!$K$13*L10+'Beta (CTR)'!$K$15*N10+'Beta (CTR)'!$K$18*Q10+'Beta (CTR)'!$K$22*U10+'Beta (CTR)'!$K$23*V10+'Beta (CTR)'!$K$25*X10+'Beta (CTR)'!$K$27*Z10+'Beta (CTR)'!$K$28*AA10+'Beta (CTR)'!$K$29*AB10+'Beta (CTR)'!$K$30*AC10+'Beta (CTR)'!$K$31*AD10+'Beta (CTR)'!$K$32*AE10</f>
        <v>0.76233449090091943</v>
      </c>
      <c r="K36" s="626">
        <f>+'Beta (CTR)'!$L$3*B10+'Beta (CTR)'!$L$6*E10+'Beta (CTR)'!$L$25*X10+'Beta (CTR)'!$L$27*Z10</f>
        <v>0.82097941258082918</v>
      </c>
      <c r="L36" s="626">
        <f>+'Beta (CTR)'!$M$3*B10+'Beta (CTR)'!$M$4*C10+'Beta (CTR)'!$M$5*D10+'Beta (CTR)'!$M$6*E10+'Beta (CTR)'!$M$7*F10+'Beta (CTR)'!$M$8*G10+'Beta (CTR)'!$M$9*H10+'Beta (CTR)'!$M$10*I10+'Beta (CTR)'!$M$13*L10+'Beta (CTR)'!$M$14*M10+'Beta (CTR)'!$M$15*N10+'Beta (CTR)'!$M$16*O10+'Beta (CTR)'!$M$17*P10+'Beta (CTR)'!$M$18*Q10+'Beta (CTR)'!$M$21*T10+'Beta (CTR)'!$M$22*U10+'Beta (CTR)'!$M$23*V10+'Beta (CTR)'!$M$24*W10+'Beta (CTR)'!$M$25*X10+'Beta (CTR)'!$M$26*Y10+'Beta (CTR)'!$M$27*Z10+'Beta (CTR)'!$M$28*AA10+'Beta (CTR)'!$M$29*AB10+'Beta (CTR)'!$M$30*AC10+'Beta (CTR)'!$M$31*AD10+'Beta (CTR)'!$M$32*AE10+'Beta (CTR)'!$M$33*AF10+'Beta (CTR)'!$M$34*AG10+'Beta (CTR)'!$M$35*AH10+'Beta (CTR)'!$M$36*AI10+'Beta (CTR)'!$M$38*AK10+'Beta (CTR)'!$M$40*AM10</f>
        <v>0.88593975357714649</v>
      </c>
      <c r="M36" s="626">
        <f>+'Beta (CTR)'!$N$3*B10+'Beta (CTR)'!$N$4*C10+'Beta (CTR)'!$N$6*E10+'Beta (CTR)'!$N$8*G10+'Beta (CTR)'!$N$9*H10+'Beta (CTR)'!$N$10*I10+'Beta (CTR)'!$N$13*L10+'Beta (CTR)'!$N$14*M10+'Beta (CTR)'!$N$15*N10+'Beta (CTR)'!$N$16*O10+'Beta (CTR)'!$N$18*Q10+'Beta (CTR)'!$N$19*R10+'Beta (CTR)'!$N$21*T10+'Beta (CTR)'!$N$22*U10+'Beta (CTR)'!$N$23*V10+'Beta (CTR)'!$N$24*W10+'Beta (CTR)'!$N$25*X10+'Beta (CTR)'!$N$26*Y10+'Beta (CTR)'!$N$27*Z10+'Beta (CTR)'!$N$28*AA10+'Beta (CTR)'!$N$29*AB10+'Beta (CTR)'!$N$30*AC10+'Beta (CTR)'!$N$31*AD10+'Beta (CTR)'!$N$32*AE10+'Beta (CTR)'!$N$34*AG10+'Beta (CTR)'!$N$36*AI10+'Beta (CTR)'!$N$42*AO10</f>
        <v>1.1224855754497907</v>
      </c>
      <c r="N36" s="626">
        <f>+'Beta (CTR)'!$O$3*B10+'Beta (CTR)'!$O$5*D10+'Beta (CTR)'!$O$7*F10+'Beta (CTR)'!$O$8*G10+'Beta (CTR)'!$O$21*T10+'Beta (CTR)'!$O$22*U10+'Beta (CTR)'!$O$23*V10+'Beta (CTR)'!$O$24*W10+'Beta (CTR)'!$O$25*X10+'Beta (CTR)'!$O$27*Z10+'Beta (CTR)'!$O$28*AA10+'Beta (CTR)'!$O$29*AB10+'Beta (CTR)'!$O$31*AD10+'Beta (CTR)'!$O$32*AE10+'Beta (CTR)'!$O$33*AF10+'Beta (CTR)'!$O$34*AG10</f>
        <v>0.90775789418443698</v>
      </c>
      <c r="O36" s="626">
        <f>+'Beta (CTR)'!$P$3*B10+'Beta (CTR)'!$P$5*D10+'Beta (CTR)'!$P$7*F10+'Beta (CTR)'!$P$8*G10+'Beta (CTR)'!$P$21*T10+'Beta (CTR)'!$P$22*U10+'Beta (CTR)'!$P$23*V10+'Beta (CTR)'!$P$24*W10+'Beta (CTR)'!$P$25*X10+'Beta (CTR)'!$P$27*Z10+'Beta (CTR)'!$P$28*AA10+'Beta (CTR)'!$P$29*AB10+'Beta (CTR)'!$P$31*AD10+'Beta (CTR)'!$P$32*AE10+'Beta (CTR)'!$P$33*AF10+'Beta (CTR)'!$P$34*AG10+'Beta (CTR)'!$P$39*AL10</f>
        <v>0.96385386928920935</v>
      </c>
      <c r="P36" s="626">
        <f>+'Beta (CTR)'!$Q$3*B10+'Beta (CTR)'!$Q$4*C10+'Beta (CTR)'!$Q$5*D10+'Beta (CTR)'!$Q$6*E10+'Beta (CTR)'!$Q$9*H10+'Beta (CTR)'!$Q$10*I10+'Beta (CTR)'!$Q$11*J10+'Beta (CTR)'!$Q$12*K10+'Beta (CTR)'!$Q$13*L10+'Beta (CTR)'!$Q$14*M10+'Beta (CTR)'!$Q$15*N10+'Beta (CTR)'!$Q$16*O10+'Beta (CTR)'!$Q$17*P10+'Beta (CTR)'!$Q$19*R10+'Beta (CTR)'!$Q$20*S10+'Beta (CTR)'!$Q$21*T10+'Beta (CTR)'!$Q$22*U10+'Beta (CTR)'!$Q$23*V10+'Beta (CTR)'!$Q$24*W10+'Beta (CTR)'!$Q$25*X10+'Beta (CTR)'!$Q$26*Y10+'Beta (CTR)'!$Q$27*Z10+'Beta (CTR)'!$Q$28*AA10+'Beta (CTR)'!$Q$29*AB10+'Beta (CTR)'!$Q$30*AC10+'Beta (CTR)'!$Q$31*AD10+'Beta (CTR)'!$Q$32*AE10+'Beta (CTR)'!$Q$33*AF10+'Beta (CTR)'!$Q$37*AJ10+'Beta (CTR)'!$Q$41*AN10</f>
        <v>0.8187937695725066</v>
      </c>
      <c r="Q36" s="626">
        <f>+'Beta (CTR)'!$R$3*B10+'Beta (CTR)'!$R$4*C10+'Beta (CTR)'!$R$5*D10+'Beta (CTR)'!$R$6*E10+'Beta (CTR)'!$R$9*H10+'Beta (CTR)'!$R$10*I10+'Beta (CTR)'!$R$11*J10+'Beta (CTR)'!$R$12*K10+'Beta (CTR)'!$R$13*L10+'Beta (CTR)'!$R$14*M10+'Beta (CTR)'!$R$15*N10+'Beta (CTR)'!$R$16*O10+'Beta (CTR)'!$R$17*P10+'Beta (CTR)'!$R$19*R10+'Beta (CTR)'!$R$20*S10+'Beta (CTR)'!$R$21*T10+'Beta (CTR)'!$R$22*U10+'Beta (CTR)'!$R$23*V10+'Beta (CTR)'!$R$24*W10+'Beta (CTR)'!$R$25*X10+'Beta (CTR)'!$R$26*Y10+'Beta (CTR)'!$R$27*Z10+'Beta (CTR)'!$R$28*AA10+'Beta (CTR)'!$R$29*AB10+'Beta (CTR)'!$R$30*AC10+'Beta (CTR)'!$R$31*AD10+'Beta (CTR)'!$R$32*AE10+'Beta (CTR)'!$R$33*AF10+'Beta (CTR)'!$R$37*AJ10+'Beta (CTR)'!$R$41*AN10</f>
        <v>0.8187937695725066</v>
      </c>
    </row>
    <row r="37" spans="1:17" x14ac:dyDescent="0.25">
      <c r="A37" s="625">
        <v>10</v>
      </c>
      <c r="B37" s="626">
        <f>+'Beta (CTR)'!$C$3*B11+'Beta (CTR)'!$C$8*G11+'Beta (CTR)'!$C$21*T11+'Beta (CTR)'!$C$22*U11+'Beta (CTR)'!$C$23*V11+'Beta (CTR)'!$C$24*W11+'Beta (CTR)'!$C$27*Z11+'Beta (CTR)'!$C$28*AA11+'Beta (CTR)'!$C$31*AD11</f>
        <v>0.59657374081998216</v>
      </c>
      <c r="C37" s="626">
        <f>+'Beta (CTR)'!$D$3*B11+'Beta (CTR)'!$D$4*C11+'Beta (CTR)'!$D$5*D11+'Beta (CTR)'!$D$10*I11+'Beta (CTR)'!$D$17*P11+'Beta (CTR)'!$D$21*T11+'Beta (CTR)'!$D$22*U11+'Beta (CTR)'!$D$23*V11+'Beta (CTR)'!$D$24*W11+'Beta (CTR)'!$D$25*X11+'Beta (CTR)'!$D$26*Y11+'Beta (CTR)'!$D$27*Z11+'Beta (CTR)'!$D$29*AB11+'Beta (CTR)'!$D$32*AE11+'Beta (CTR)'!$D$33*AF11</f>
        <v>0.77702578169079206</v>
      </c>
      <c r="D37" s="626">
        <f>+'Beta (CTR)'!$E$3*B11+'Beta (CTR)'!$E$4*C11+'Beta (CTR)'!$E$15*N11+'Beta (CTR)'!$E$16*O11+'Beta (CTR)'!$E$21*T11+'Beta (CTR)'!$E$24*W11+'Beta (CTR)'!$E$25*X11+'Beta (CTR)'!$E$27*Z11+'Beta (CTR)'!$E$28*AA11+'Beta (CTR)'!$E$29*AB11</f>
        <v>1.1533950203212884</v>
      </c>
      <c r="E37" s="626">
        <f>+'Beta (CTR)'!$F$4*C11+'Beta (CTR)'!$F$10*I11+'Beta (CTR)'!$F$16*O11+'Beta (CTR)'!$F$21*T11+'Beta (CTR)'!$F$24*W11+'Beta (CTR)'!$F$25*X11+'Beta (CTR)'!$F$26*Y11+'Beta (CTR)'!$F$27*Z11+'Beta (CTR)'!$F$29*AB11+'Beta (CTR)'!$F$30*AC11</f>
        <v>1.2123016378907023</v>
      </c>
      <c r="F37" s="626">
        <f>+'Beta (CTR)'!$G$3*B11+'Beta (CTR)'!$G$11*J11+'Beta (CTR)'!$G$12*K11+'Beta (CTR)'!$G$21*T11+'Beta (CTR)'!$G$23*V11+'Beta (CTR)'!$G$24*W11+'Beta (CTR)'!$G$28*AA11</f>
        <v>0.57326635256910785</v>
      </c>
      <c r="G37" s="626">
        <f>+'Beta (CTR)'!$H$3*B11+'Beta (CTR)'!$H$5*D11+'Beta (CTR)'!$H$7*F11+'Beta (CTR)'!$H$21*T11+'Beta (CTR)'!$H$23*V11+'Beta (CTR)'!$H$24*W11+'Beta (CTR)'!$H$25*X11+'Beta (CTR)'!$H$27*Z11+'Beta (CTR)'!$H$29*AB11+'Beta (CTR)'!$H$32*AE11+'Beta (CTR)'!$H$33*AF11</f>
        <v>0.85085599805553169</v>
      </c>
      <c r="H37" s="626">
        <f>+'Beta (CTR)'!$I$4*C11+'Beta (CTR)'!$I$6*E11+'Beta (CTR)'!$I$9*H11+'Beta (CTR)'!$I$13*L11+'Beta (CTR)'!$I$14*M11+'Beta (CTR)'!$I$19*R11+'Beta (CTR)'!$I$22*U11+'Beta (CTR)'!$I$25*X11+'Beta (CTR)'!$I$30*AC11</f>
        <v>1.6105328231902398</v>
      </c>
      <c r="I37" s="626">
        <f>+'Beta (CTR)'!$J$16*O11+'Beta (CTR)'!$J$20*S11+'Beta (CTR)'!$J$21*T11+'Beta (CTR)'!$J$23*V11+'Beta (CTR)'!$J$24*W11+'Beta (CTR)'!$J$26*Y11+'Beta (CTR)'!$J$27*Z11+'Beta (CTR)'!$J$30*AC11+'Beta (CTR)'!$J$31*AD11+'Beta (CTR)'!$J$32*AE11</f>
        <v>0.80802473495623772</v>
      </c>
      <c r="J37" s="626">
        <f>+'Beta (CTR)'!$K$3*B11+'Beta (CTR)'!$K$4*C11+'Beta (CTR)'!$K$13*L11+'Beta (CTR)'!$K$15*N11+'Beta (CTR)'!$K$18*Q11+'Beta (CTR)'!$K$22*U11+'Beta (CTR)'!$K$23*V11+'Beta (CTR)'!$K$25*X11+'Beta (CTR)'!$K$27*Z11+'Beta (CTR)'!$K$28*AA11+'Beta (CTR)'!$K$29*AB11+'Beta (CTR)'!$K$30*AC11+'Beta (CTR)'!$K$31*AD11+'Beta (CTR)'!$K$32*AE11</f>
        <v>0.83823509605819901</v>
      </c>
      <c r="K37" s="626">
        <f>+'Beta (CTR)'!$L$3*B11+'Beta (CTR)'!$L$6*E11+'Beta (CTR)'!$L$25*X11+'Beta (CTR)'!$L$27*Z11</f>
        <v>1.6299293670550614</v>
      </c>
      <c r="L37" s="626">
        <f>+'Beta (CTR)'!$M$3*B11+'Beta (CTR)'!$M$4*C11+'Beta (CTR)'!$M$5*D11+'Beta (CTR)'!$M$6*E11+'Beta (CTR)'!$M$7*F11+'Beta (CTR)'!$M$8*G11+'Beta (CTR)'!$M$9*H11+'Beta (CTR)'!$M$10*I11+'Beta (CTR)'!$M$13*L11+'Beta (CTR)'!$M$14*M11+'Beta (CTR)'!$M$15*N11+'Beta (CTR)'!$M$16*O11+'Beta (CTR)'!$M$17*P11+'Beta (CTR)'!$M$18*Q11+'Beta (CTR)'!$M$21*T11+'Beta (CTR)'!$M$22*U11+'Beta (CTR)'!$M$23*V11+'Beta (CTR)'!$M$24*W11+'Beta (CTR)'!$M$25*X11+'Beta (CTR)'!$M$26*Y11+'Beta (CTR)'!$M$27*Z11+'Beta (CTR)'!$M$28*AA11+'Beta (CTR)'!$M$29*AB11+'Beta (CTR)'!$M$30*AC11+'Beta (CTR)'!$M$31*AD11+'Beta (CTR)'!$M$32*AE11+'Beta (CTR)'!$M$33*AF11+'Beta (CTR)'!$M$34*AG11+'Beta (CTR)'!$M$35*AH11+'Beta (CTR)'!$M$36*AI11+'Beta (CTR)'!$M$38*AK11+'Beta (CTR)'!$M$40*AM11</f>
        <v>0.91608893631600263</v>
      </c>
      <c r="M37" s="626">
        <f>+'Beta (CTR)'!$N$3*B11+'Beta (CTR)'!$N$4*C11+'Beta (CTR)'!$N$6*E11+'Beta (CTR)'!$N$8*G11+'Beta (CTR)'!$N$9*H11+'Beta (CTR)'!$N$10*I11+'Beta (CTR)'!$N$13*L11+'Beta (CTR)'!$N$14*M11+'Beta (CTR)'!$N$15*N11+'Beta (CTR)'!$N$16*O11+'Beta (CTR)'!$N$18*Q11+'Beta (CTR)'!$N$19*R11+'Beta (CTR)'!$N$21*T11+'Beta (CTR)'!$N$22*U11+'Beta (CTR)'!$N$23*V11+'Beta (CTR)'!$N$24*W11+'Beta (CTR)'!$N$25*X11+'Beta (CTR)'!$N$26*Y11+'Beta (CTR)'!$N$27*Z11+'Beta (CTR)'!$N$28*AA11+'Beta (CTR)'!$N$29*AB11+'Beta (CTR)'!$N$30*AC11+'Beta (CTR)'!$N$31*AD11+'Beta (CTR)'!$N$32*AE11+'Beta (CTR)'!$N$34*AG11+'Beta (CTR)'!$N$36*AI11+'Beta (CTR)'!$N$42*AO11</f>
        <v>1.3164630319960695</v>
      </c>
      <c r="N37" s="626">
        <f>+'Beta (CTR)'!$O$3*B11+'Beta (CTR)'!$O$5*D11+'Beta (CTR)'!$O$7*F11+'Beta (CTR)'!$O$8*G11+'Beta (CTR)'!$O$21*T11+'Beta (CTR)'!$O$22*U11+'Beta (CTR)'!$O$23*V11+'Beta (CTR)'!$O$24*W11+'Beta (CTR)'!$O$25*X11+'Beta (CTR)'!$O$27*Z11+'Beta (CTR)'!$O$28*AA11+'Beta (CTR)'!$O$29*AB11+'Beta (CTR)'!$O$31*AD11+'Beta (CTR)'!$O$32*AE11+'Beta (CTR)'!$O$33*AF11+'Beta (CTR)'!$O$34*AG11</f>
        <v>0.96540412235859063</v>
      </c>
      <c r="O37" s="626">
        <f>+'Beta (CTR)'!$P$3*B11+'Beta (CTR)'!$P$5*D11+'Beta (CTR)'!$P$7*F11+'Beta (CTR)'!$P$8*G11+'Beta (CTR)'!$P$21*T11+'Beta (CTR)'!$P$22*U11+'Beta (CTR)'!$P$23*V11+'Beta (CTR)'!$P$24*W11+'Beta (CTR)'!$P$25*X11+'Beta (CTR)'!$P$27*Z11+'Beta (CTR)'!$P$28*AA11+'Beta (CTR)'!$P$29*AB11+'Beta (CTR)'!$P$31*AD11+'Beta (CTR)'!$P$32*AE11+'Beta (CTR)'!$P$33*AF11+'Beta (CTR)'!$P$34*AG11+'Beta (CTR)'!$P$39*AL11</f>
        <v>1.0058513426486393</v>
      </c>
      <c r="P37" s="626">
        <f>+'Beta (CTR)'!$Q$3*B11+'Beta (CTR)'!$Q$4*C11+'Beta (CTR)'!$Q$5*D11+'Beta (CTR)'!$Q$6*E11+'Beta (CTR)'!$Q$9*H11+'Beta (CTR)'!$Q$10*I11+'Beta (CTR)'!$Q$11*J11+'Beta (CTR)'!$Q$12*K11+'Beta (CTR)'!$Q$13*L11+'Beta (CTR)'!$Q$14*M11+'Beta (CTR)'!$Q$15*N11+'Beta (CTR)'!$Q$16*O11+'Beta (CTR)'!$Q$17*P11+'Beta (CTR)'!$Q$19*R11+'Beta (CTR)'!$Q$20*S11+'Beta (CTR)'!$Q$21*T11+'Beta (CTR)'!$Q$22*U11+'Beta (CTR)'!$Q$23*V11+'Beta (CTR)'!$Q$24*W11+'Beta (CTR)'!$Q$25*X11+'Beta (CTR)'!$Q$26*Y11+'Beta (CTR)'!$Q$27*Z11+'Beta (CTR)'!$Q$28*AA11+'Beta (CTR)'!$Q$29*AB11+'Beta (CTR)'!$Q$30*AC11+'Beta (CTR)'!$Q$31*AD11+'Beta (CTR)'!$Q$32*AE11+'Beta (CTR)'!$Q$33*AF11+'Beta (CTR)'!$Q$37*AJ11+'Beta (CTR)'!$Q$41*AN11</f>
        <v>0.8927843890208137</v>
      </c>
      <c r="Q37" s="626">
        <f>+'Beta (CTR)'!$R$3*B11+'Beta (CTR)'!$R$4*C11+'Beta (CTR)'!$R$5*D11+'Beta (CTR)'!$R$6*E11+'Beta (CTR)'!$R$9*H11+'Beta (CTR)'!$R$10*I11+'Beta (CTR)'!$R$11*J11+'Beta (CTR)'!$R$12*K11+'Beta (CTR)'!$R$13*L11+'Beta (CTR)'!$R$14*M11+'Beta (CTR)'!$R$15*N11+'Beta (CTR)'!$R$16*O11+'Beta (CTR)'!$R$17*P11+'Beta (CTR)'!$R$19*R11+'Beta (CTR)'!$R$20*S11+'Beta (CTR)'!$R$21*T11+'Beta (CTR)'!$R$22*U11+'Beta (CTR)'!$R$23*V11+'Beta (CTR)'!$R$24*W11+'Beta (CTR)'!$R$25*X11+'Beta (CTR)'!$R$26*Y11+'Beta (CTR)'!$R$27*Z11+'Beta (CTR)'!$R$28*AA11+'Beta (CTR)'!$R$29*AB11+'Beta (CTR)'!$R$30*AC11+'Beta (CTR)'!$R$31*AD11+'Beta (CTR)'!$R$32*AE11+'Beta (CTR)'!$R$33*AF11+'Beta (CTR)'!$R$37*AJ11+'Beta (CTR)'!$R$41*AN11</f>
        <v>0.8927843890208137</v>
      </c>
    </row>
    <row r="38" spans="1:17" x14ac:dyDescent="0.25">
      <c r="A38" s="625">
        <v>11</v>
      </c>
      <c r="B38" s="626">
        <f>+'Beta (CTR)'!$C$3*B12+'Beta (CTR)'!$C$8*G12+'Beta (CTR)'!$C$21*T12+'Beta (CTR)'!$C$22*U12+'Beta (CTR)'!$C$23*V12+'Beta (CTR)'!$C$24*W12+'Beta (CTR)'!$C$27*Z12+'Beta (CTR)'!$C$28*AA12+'Beta (CTR)'!$C$31*AD12</f>
        <v>0.5763807162987552</v>
      </c>
      <c r="C38" s="626">
        <f>+'Beta (CTR)'!$D$3*B12+'Beta (CTR)'!$D$4*C12+'Beta (CTR)'!$D$5*D12+'Beta (CTR)'!$D$10*I12+'Beta (CTR)'!$D$17*P12+'Beta (CTR)'!$D$21*T12+'Beta (CTR)'!$D$22*U12+'Beta (CTR)'!$D$23*V12+'Beta (CTR)'!$D$24*W12+'Beta (CTR)'!$D$25*X12+'Beta (CTR)'!$D$26*Y12+'Beta (CTR)'!$D$27*Z12+'Beta (CTR)'!$D$29*AB12+'Beta (CTR)'!$D$32*AE12+'Beta (CTR)'!$D$33*AF12</f>
        <v>0.8503230571949153</v>
      </c>
      <c r="D38" s="626">
        <f>+'Beta (CTR)'!$E$3*B12+'Beta (CTR)'!$E$4*C12+'Beta (CTR)'!$E$15*N12+'Beta (CTR)'!$E$16*O12+'Beta (CTR)'!$E$21*T12+'Beta (CTR)'!$E$24*W12+'Beta (CTR)'!$E$25*X12+'Beta (CTR)'!$E$27*Z12+'Beta (CTR)'!$E$28*AA12+'Beta (CTR)'!$E$29*AB12</f>
        <v>1.1071167106883706</v>
      </c>
      <c r="E38" s="626">
        <f>+'Beta (CTR)'!$F$4*C12+'Beta (CTR)'!$F$10*I12+'Beta (CTR)'!$F$16*O12+'Beta (CTR)'!$F$21*T12+'Beta (CTR)'!$F$24*W12+'Beta (CTR)'!$F$25*X12+'Beta (CTR)'!$F$26*Y12+'Beta (CTR)'!$F$27*Z12+'Beta (CTR)'!$F$29*AB12+'Beta (CTR)'!$F$30*AC12</f>
        <v>1.3236776394792897</v>
      </c>
      <c r="F38" s="626">
        <f>+'Beta (CTR)'!$G$3*B12+'Beta (CTR)'!$G$11*J12+'Beta (CTR)'!$G$12*K12+'Beta (CTR)'!$G$21*T12+'Beta (CTR)'!$G$23*V12+'Beta (CTR)'!$G$24*W12+'Beta (CTR)'!$G$28*AA12</f>
        <v>0.55528794870410292</v>
      </c>
      <c r="G38" s="626">
        <f>+'Beta (CTR)'!$H$3*B12+'Beta (CTR)'!$H$5*D12+'Beta (CTR)'!$H$7*F12+'Beta (CTR)'!$H$21*T12+'Beta (CTR)'!$H$23*V12+'Beta (CTR)'!$H$24*W12+'Beta (CTR)'!$H$25*X12+'Beta (CTR)'!$H$27*Z12+'Beta (CTR)'!$H$29*AB12+'Beta (CTR)'!$H$32*AE12+'Beta (CTR)'!$H$33*AF12</f>
        <v>0.91793762821308056</v>
      </c>
      <c r="H38" s="626">
        <f>+'Beta (CTR)'!$I$4*C12+'Beta (CTR)'!$I$6*E12+'Beta (CTR)'!$I$9*H12+'Beta (CTR)'!$I$13*L12+'Beta (CTR)'!$I$14*M12+'Beta (CTR)'!$I$19*R12+'Beta (CTR)'!$I$22*U12+'Beta (CTR)'!$I$25*X12+'Beta (CTR)'!$I$30*AC12</f>
        <v>1.82308847686252</v>
      </c>
      <c r="I38" s="626">
        <f>+'Beta (CTR)'!$J$16*O12+'Beta (CTR)'!$J$20*S12+'Beta (CTR)'!$J$21*T12+'Beta (CTR)'!$J$23*V12+'Beta (CTR)'!$J$24*W12+'Beta (CTR)'!$J$26*Y12+'Beta (CTR)'!$J$27*Z12+'Beta (CTR)'!$J$30*AC12+'Beta (CTR)'!$J$31*AD12+'Beta (CTR)'!$J$32*AE12</f>
        <v>0.72481543715263874</v>
      </c>
      <c r="J38" s="626">
        <f>+'Beta (CTR)'!$K$3*B12+'Beta (CTR)'!$K$4*C12+'Beta (CTR)'!$K$13*L12+'Beta (CTR)'!$K$15*N12+'Beta (CTR)'!$K$18*Q12+'Beta (CTR)'!$K$22*U12+'Beta (CTR)'!$K$23*V12+'Beta (CTR)'!$K$25*X12+'Beta (CTR)'!$K$27*Z12+'Beta (CTR)'!$K$28*AA12+'Beta (CTR)'!$K$29*AB12+'Beta (CTR)'!$K$30*AC12+'Beta (CTR)'!$K$31*AD12+'Beta (CTR)'!$K$32*AE12</f>
        <v>0.96002548240456687</v>
      </c>
      <c r="K38" s="626">
        <f>+'Beta (CTR)'!$L$3*B12+'Beta (CTR)'!$L$6*E12+'Beta (CTR)'!$L$25*X12+'Beta (CTR)'!$L$27*Z12</f>
        <v>2.6195491450596275</v>
      </c>
      <c r="L38" s="626">
        <f>+'Beta (CTR)'!$M$3*B12+'Beta (CTR)'!$M$4*C12+'Beta (CTR)'!$M$5*D12+'Beta (CTR)'!$M$6*E12+'Beta (CTR)'!$M$7*F12+'Beta (CTR)'!$M$8*G12+'Beta (CTR)'!$M$9*H12+'Beta (CTR)'!$M$10*I12+'Beta (CTR)'!$M$13*L12+'Beta (CTR)'!$M$14*M12+'Beta (CTR)'!$M$15*N12+'Beta (CTR)'!$M$16*O12+'Beta (CTR)'!$M$17*P12+'Beta (CTR)'!$M$18*Q12+'Beta (CTR)'!$M$21*T12+'Beta (CTR)'!$M$22*U12+'Beta (CTR)'!$M$23*V12+'Beta (CTR)'!$M$24*W12+'Beta (CTR)'!$M$25*X12+'Beta (CTR)'!$M$26*Y12+'Beta (CTR)'!$M$27*Z12+'Beta (CTR)'!$M$28*AA12+'Beta (CTR)'!$M$29*AB12+'Beta (CTR)'!$M$30*AC12+'Beta (CTR)'!$M$31*AD12+'Beta (CTR)'!$M$32*AE12+'Beta (CTR)'!$M$33*AF12+'Beta (CTR)'!$M$34*AG12+'Beta (CTR)'!$M$35*AH12+'Beta (CTR)'!$M$36*AI12+'Beta (CTR)'!$M$38*AK12+'Beta (CTR)'!$M$40*AM12</f>
        <v>0.96691950487961464</v>
      </c>
      <c r="M38" s="626">
        <f>+'Beta (CTR)'!$N$3*B12+'Beta (CTR)'!$N$4*C12+'Beta (CTR)'!$N$6*E12+'Beta (CTR)'!$N$8*G12+'Beta (CTR)'!$N$9*H12+'Beta (CTR)'!$N$10*I12+'Beta (CTR)'!$N$13*L12+'Beta (CTR)'!$N$14*M12+'Beta (CTR)'!$N$15*N12+'Beta (CTR)'!$N$16*O12+'Beta (CTR)'!$N$18*Q12+'Beta (CTR)'!$N$19*R12+'Beta (CTR)'!$N$21*T12+'Beta (CTR)'!$N$22*U12+'Beta (CTR)'!$N$23*V12+'Beta (CTR)'!$N$24*W12+'Beta (CTR)'!$N$25*X12+'Beta (CTR)'!$N$26*Y12+'Beta (CTR)'!$N$27*Z12+'Beta (CTR)'!$N$28*AA12+'Beta (CTR)'!$N$29*AB12+'Beta (CTR)'!$N$30*AC12+'Beta (CTR)'!$N$31*AD12+'Beta (CTR)'!$N$32*AE12+'Beta (CTR)'!$N$34*AG12+'Beta (CTR)'!$N$36*AI12+'Beta (CTR)'!$N$42*AO12</f>
        <v>1.4131665774987368</v>
      </c>
      <c r="N38" s="626">
        <f>+'Beta (CTR)'!$O$3*B12+'Beta (CTR)'!$O$5*D12+'Beta (CTR)'!$O$7*F12+'Beta (CTR)'!$O$8*G12+'Beta (CTR)'!$O$21*T12+'Beta (CTR)'!$O$22*U12+'Beta (CTR)'!$O$23*V12+'Beta (CTR)'!$O$24*W12+'Beta (CTR)'!$O$25*X12+'Beta (CTR)'!$O$27*Z12+'Beta (CTR)'!$O$28*AA12+'Beta (CTR)'!$O$29*AB12+'Beta (CTR)'!$O$31*AD12+'Beta (CTR)'!$O$32*AE12+'Beta (CTR)'!$O$33*AF12+'Beta (CTR)'!$O$34*AG12</f>
        <v>0.99331107700778842</v>
      </c>
      <c r="O38" s="626">
        <f>+'Beta (CTR)'!$P$3*B12+'Beta (CTR)'!$P$5*D12+'Beta (CTR)'!$P$7*F12+'Beta (CTR)'!$P$8*G12+'Beta (CTR)'!$P$21*T12+'Beta (CTR)'!$P$22*U12+'Beta (CTR)'!$P$23*V12+'Beta (CTR)'!$P$24*W12+'Beta (CTR)'!$P$25*X12+'Beta (CTR)'!$P$27*Z12+'Beta (CTR)'!$P$28*AA12+'Beta (CTR)'!$P$29*AB12+'Beta (CTR)'!$P$31*AD12+'Beta (CTR)'!$P$32*AE12+'Beta (CTR)'!$P$33*AF12+'Beta (CTR)'!$P$34*AG12+'Beta (CTR)'!$P$39*AL12</f>
        <v>1.0282689594540659</v>
      </c>
      <c r="P38" s="626">
        <f>+'Beta (CTR)'!$Q$3*B12+'Beta (CTR)'!$Q$4*C12+'Beta (CTR)'!$Q$5*D12+'Beta (CTR)'!$Q$6*E12+'Beta (CTR)'!$Q$9*H12+'Beta (CTR)'!$Q$10*I12+'Beta (CTR)'!$Q$11*J12+'Beta (CTR)'!$Q$12*K12+'Beta (CTR)'!$Q$13*L12+'Beta (CTR)'!$Q$14*M12+'Beta (CTR)'!$Q$15*N12+'Beta (CTR)'!$Q$16*O12+'Beta (CTR)'!$Q$17*P12+'Beta (CTR)'!$Q$19*R12+'Beta (CTR)'!$Q$20*S12+'Beta (CTR)'!$Q$21*T12+'Beta (CTR)'!$Q$22*U12+'Beta (CTR)'!$Q$23*V12+'Beta (CTR)'!$Q$24*W12+'Beta (CTR)'!$Q$25*X12+'Beta (CTR)'!$Q$26*Y12+'Beta (CTR)'!$Q$27*Z12+'Beta (CTR)'!$Q$28*AA12+'Beta (CTR)'!$Q$29*AB12+'Beta (CTR)'!$Q$30*AC12+'Beta (CTR)'!$Q$31*AD12+'Beta (CTR)'!$Q$32*AE12+'Beta (CTR)'!$Q$33*AF12+'Beta (CTR)'!$Q$37*AJ12+'Beta (CTR)'!$Q$41*AN12</f>
        <v>0.9755281971455253</v>
      </c>
      <c r="Q38" s="626">
        <f>+'Beta (CTR)'!$R$3*B12+'Beta (CTR)'!$R$4*C12+'Beta (CTR)'!$R$5*D12+'Beta (CTR)'!$R$6*E12+'Beta (CTR)'!$R$9*H12+'Beta (CTR)'!$R$10*I12+'Beta (CTR)'!$R$11*J12+'Beta (CTR)'!$R$12*K12+'Beta (CTR)'!$R$13*L12+'Beta (CTR)'!$R$14*M12+'Beta (CTR)'!$R$15*N12+'Beta (CTR)'!$R$16*O12+'Beta (CTR)'!$R$17*P12+'Beta (CTR)'!$R$19*R12+'Beta (CTR)'!$R$20*S12+'Beta (CTR)'!$R$21*T12+'Beta (CTR)'!$R$22*U12+'Beta (CTR)'!$R$23*V12+'Beta (CTR)'!$R$24*W12+'Beta (CTR)'!$R$25*X12+'Beta (CTR)'!$R$26*Y12+'Beta (CTR)'!$R$27*Z12+'Beta (CTR)'!$R$28*AA12+'Beta (CTR)'!$R$29*AB12+'Beta (CTR)'!$R$30*AC12+'Beta (CTR)'!$R$31*AD12+'Beta (CTR)'!$R$32*AE12+'Beta (CTR)'!$R$33*AF12+'Beta (CTR)'!$R$37*AJ12+'Beta (CTR)'!$R$41*AN12</f>
        <v>0.9755281971455253</v>
      </c>
    </row>
    <row r="39" spans="1:17" x14ac:dyDescent="0.25">
      <c r="A39" s="625">
        <v>12</v>
      </c>
      <c r="B39" s="626">
        <f>+'Beta (CTR)'!$C$3*B13+'Beta (CTR)'!$C$8*G13+'Beta (CTR)'!$C$21*T13+'Beta (CTR)'!$C$22*U13+'Beta (CTR)'!$C$23*V13+'Beta (CTR)'!$C$24*W13+'Beta (CTR)'!$C$27*Z13+'Beta (CTR)'!$C$28*AA13+'Beta (CTR)'!$C$31*AD13</f>
        <v>0.55852804569542802</v>
      </c>
      <c r="C39" s="626">
        <f>+'Beta (CTR)'!$D$3*B13+'Beta (CTR)'!$D$4*C13+'Beta (CTR)'!$D$5*D13+'Beta (CTR)'!$D$10*I13+'Beta (CTR)'!$D$17*P13+'Beta (CTR)'!$D$21*T13+'Beta (CTR)'!$D$22*U13+'Beta (CTR)'!$D$23*V13+'Beta (CTR)'!$D$24*W13+'Beta (CTR)'!$D$25*X13+'Beta (CTR)'!$D$26*Y13+'Beta (CTR)'!$D$27*Z13+'Beta (CTR)'!$D$29*AB13+'Beta (CTR)'!$D$32*AE13+'Beta (CTR)'!$D$33*AF13</f>
        <v>0.99559688585102479</v>
      </c>
      <c r="D39" s="626">
        <f>+'Beta (CTR)'!$E$3*B13+'Beta (CTR)'!$E$4*C13+'Beta (CTR)'!$E$15*N13+'Beta (CTR)'!$E$16*O13+'Beta (CTR)'!$E$21*T13+'Beta (CTR)'!$E$24*W13+'Beta (CTR)'!$E$25*X13+'Beta (CTR)'!$E$27*Z13+'Beta (CTR)'!$E$28*AA13+'Beta (CTR)'!$E$29*AB13</f>
        <v>1.0501352270881708</v>
      </c>
      <c r="E39" s="626">
        <f>+'Beta (CTR)'!$F$4*C13+'Beta (CTR)'!$F$10*I13+'Beta (CTR)'!$F$16*O13+'Beta (CTR)'!$F$21*T13+'Beta (CTR)'!$F$24*W13+'Beta (CTR)'!$F$25*X13+'Beta (CTR)'!$F$26*Y13+'Beta (CTR)'!$F$27*Z13+'Beta (CTR)'!$F$29*AB13+'Beta (CTR)'!$F$30*AC13</f>
        <v>1.4178789970194672</v>
      </c>
      <c r="F39" s="626">
        <f>+'Beta (CTR)'!$G$3*B13+'Beta (CTR)'!$G$11*J13+'Beta (CTR)'!$G$12*K13+'Beta (CTR)'!$G$21*T13+'Beta (CTR)'!$G$23*V13+'Beta (CTR)'!$G$24*W13+'Beta (CTR)'!$G$28*AA13</f>
        <v>0.65499628409395438</v>
      </c>
      <c r="G39" s="626">
        <f>+'Beta (CTR)'!$H$3*B13+'Beta (CTR)'!$H$5*D13+'Beta (CTR)'!$H$7*F13+'Beta (CTR)'!$H$21*T13+'Beta (CTR)'!$H$23*V13+'Beta (CTR)'!$H$24*W13+'Beta (CTR)'!$H$25*X13+'Beta (CTR)'!$H$27*Z13+'Beta (CTR)'!$H$29*AB13+'Beta (CTR)'!$H$32*AE13+'Beta (CTR)'!$H$33*AF13</f>
        <v>0.99739385577797635</v>
      </c>
      <c r="H39" s="626">
        <f>+'Beta (CTR)'!$I$4*C13+'Beta (CTR)'!$I$6*E13+'Beta (CTR)'!$I$9*H13+'Beta (CTR)'!$I$13*L13+'Beta (CTR)'!$I$14*M13+'Beta (CTR)'!$I$19*R13+'Beta (CTR)'!$I$22*U13+'Beta (CTR)'!$I$25*X13+'Beta (CTR)'!$I$30*AC13</f>
        <v>1.7618737828280469</v>
      </c>
      <c r="I39" s="626">
        <f>+'Beta (CTR)'!$J$16*O13+'Beta (CTR)'!$J$20*S13+'Beta (CTR)'!$J$21*T13+'Beta (CTR)'!$J$23*V13+'Beta (CTR)'!$J$24*W13+'Beta (CTR)'!$J$26*Y13+'Beta (CTR)'!$J$27*Z13+'Beta (CTR)'!$J$30*AC13+'Beta (CTR)'!$J$31*AD13+'Beta (CTR)'!$J$32*AE13</f>
        <v>0.7199314200037189</v>
      </c>
      <c r="J39" s="626">
        <f>+'Beta (CTR)'!$K$3*B13+'Beta (CTR)'!$K$4*C13+'Beta (CTR)'!$K$13*L13+'Beta (CTR)'!$K$15*N13+'Beta (CTR)'!$K$18*Q13+'Beta (CTR)'!$K$22*U13+'Beta (CTR)'!$K$23*V13+'Beta (CTR)'!$K$25*X13+'Beta (CTR)'!$K$27*Z13+'Beta (CTR)'!$K$28*AA13+'Beta (CTR)'!$K$29*AB13+'Beta (CTR)'!$K$30*AC13+'Beta (CTR)'!$K$31*AD13+'Beta (CTR)'!$K$32*AE13</f>
        <v>0.99649856260184644</v>
      </c>
      <c r="K39" s="626">
        <f>+'Beta (CTR)'!$L$3*B13+'Beta (CTR)'!$L$6*E13+'Beta (CTR)'!$L$25*X13+'Beta (CTR)'!$L$27*Z13</f>
        <v>3.0444670920723316</v>
      </c>
      <c r="L39" s="626">
        <f>+'Beta (CTR)'!$M$3*B13+'Beta (CTR)'!$M$4*C13+'Beta (CTR)'!$M$5*D13+'Beta (CTR)'!$M$6*E13+'Beta (CTR)'!$M$7*F13+'Beta (CTR)'!$M$8*G13+'Beta (CTR)'!$M$9*H13+'Beta (CTR)'!$M$10*I13+'Beta (CTR)'!$M$13*L13+'Beta (CTR)'!$M$14*M13+'Beta (CTR)'!$M$15*N13+'Beta (CTR)'!$M$16*O13+'Beta (CTR)'!$M$17*P13+'Beta (CTR)'!$M$18*Q13+'Beta (CTR)'!$M$21*T13+'Beta (CTR)'!$M$22*U13+'Beta (CTR)'!$M$23*V13+'Beta (CTR)'!$M$24*W13+'Beta (CTR)'!$M$25*X13+'Beta (CTR)'!$M$26*Y13+'Beta (CTR)'!$M$27*Z13+'Beta (CTR)'!$M$28*AA13+'Beta (CTR)'!$M$29*AB13+'Beta (CTR)'!$M$30*AC13+'Beta (CTR)'!$M$31*AD13+'Beta (CTR)'!$M$32*AE13+'Beta (CTR)'!$M$33*AF13+'Beta (CTR)'!$M$34*AG13+'Beta (CTR)'!$M$35*AH13+'Beta (CTR)'!$M$36*AI13+'Beta (CTR)'!$M$38*AK13+'Beta (CTR)'!$M$40*AM13</f>
        <v>0.98461152706463828</v>
      </c>
      <c r="M39" s="626">
        <f>+'Beta (CTR)'!$N$3*B13+'Beta (CTR)'!$N$4*C13+'Beta (CTR)'!$N$6*E13+'Beta (CTR)'!$N$8*G13+'Beta (CTR)'!$N$9*H13+'Beta (CTR)'!$N$10*I13+'Beta (CTR)'!$N$13*L13+'Beta (CTR)'!$N$14*M13+'Beta (CTR)'!$N$15*N13+'Beta (CTR)'!$N$16*O13+'Beta (CTR)'!$N$18*Q13+'Beta (CTR)'!$N$19*R13+'Beta (CTR)'!$N$21*T13+'Beta (CTR)'!$N$22*U13+'Beta (CTR)'!$N$23*V13+'Beta (CTR)'!$N$24*W13+'Beta (CTR)'!$N$25*X13+'Beta (CTR)'!$N$26*Y13+'Beta (CTR)'!$N$27*Z13+'Beta (CTR)'!$N$28*AA13+'Beta (CTR)'!$N$29*AB13+'Beta (CTR)'!$N$30*AC13+'Beta (CTR)'!$N$31*AD13+'Beta (CTR)'!$N$32*AE13+'Beta (CTR)'!$N$34*AG13+'Beta (CTR)'!$N$36*AI13+'Beta (CTR)'!$N$42*AO13</f>
        <v>1.3682426171801989</v>
      </c>
      <c r="N39" s="626">
        <f>+'Beta (CTR)'!$O$3*B13+'Beta (CTR)'!$O$5*D13+'Beta (CTR)'!$O$7*F13+'Beta (CTR)'!$O$8*G13+'Beta (CTR)'!$O$21*T13+'Beta (CTR)'!$O$22*U13+'Beta (CTR)'!$O$23*V13+'Beta (CTR)'!$O$24*W13+'Beta (CTR)'!$O$25*X13+'Beta (CTR)'!$O$27*Z13+'Beta (CTR)'!$O$28*AA13+'Beta (CTR)'!$O$29*AB13+'Beta (CTR)'!$O$31*AD13+'Beta (CTR)'!$O$32*AE13+'Beta (CTR)'!$O$33*AF13+'Beta (CTR)'!$O$34*AG13</f>
        <v>1.0221772406294045</v>
      </c>
      <c r="O39" s="626">
        <f>+'Beta (CTR)'!$P$3*B13+'Beta (CTR)'!$P$5*D13+'Beta (CTR)'!$P$7*F13+'Beta (CTR)'!$P$8*G13+'Beta (CTR)'!$P$21*T13+'Beta (CTR)'!$P$22*U13+'Beta (CTR)'!$P$23*V13+'Beta (CTR)'!$P$24*W13+'Beta (CTR)'!$P$25*X13+'Beta (CTR)'!$P$27*Z13+'Beta (CTR)'!$P$28*AA13+'Beta (CTR)'!$P$29*AB13+'Beta (CTR)'!$P$31*AD13+'Beta (CTR)'!$P$32*AE13+'Beta (CTR)'!$P$33*AF13+'Beta (CTR)'!$P$34*AG13+'Beta (CTR)'!$P$39*AL13</f>
        <v>1.0479479427429164</v>
      </c>
      <c r="P39" s="626">
        <f>+'Beta (CTR)'!$Q$3*B13+'Beta (CTR)'!$Q$4*C13+'Beta (CTR)'!$Q$5*D13+'Beta (CTR)'!$Q$6*E13+'Beta (CTR)'!$Q$9*H13+'Beta (CTR)'!$Q$10*I13+'Beta (CTR)'!$Q$11*J13+'Beta (CTR)'!$Q$12*K13+'Beta (CTR)'!$Q$13*L13+'Beta (CTR)'!$Q$14*M13+'Beta (CTR)'!$Q$15*N13+'Beta (CTR)'!$Q$16*O13+'Beta (CTR)'!$Q$17*P13+'Beta (CTR)'!$Q$19*R13+'Beta (CTR)'!$Q$20*S13+'Beta (CTR)'!$Q$21*T13+'Beta (CTR)'!$Q$22*U13+'Beta (CTR)'!$Q$23*V13+'Beta (CTR)'!$Q$24*W13+'Beta (CTR)'!$Q$25*X13+'Beta (CTR)'!$Q$26*Y13+'Beta (CTR)'!$Q$27*Z13+'Beta (CTR)'!$Q$28*AA13+'Beta (CTR)'!$Q$29*AB13+'Beta (CTR)'!$Q$30*AC13+'Beta (CTR)'!$Q$31*AD13+'Beta (CTR)'!$Q$32*AE13+'Beta (CTR)'!$Q$33*AF13+'Beta (CTR)'!$Q$37*AJ13+'Beta (CTR)'!$Q$41*AN13</f>
        <v>1.0763023671585388</v>
      </c>
      <c r="Q39" s="626">
        <f>+'Beta (CTR)'!$R$3*B13+'Beta (CTR)'!$R$4*C13+'Beta (CTR)'!$R$5*D13+'Beta (CTR)'!$R$6*E13+'Beta (CTR)'!$R$9*H13+'Beta (CTR)'!$R$10*I13+'Beta (CTR)'!$R$11*J13+'Beta (CTR)'!$R$12*K13+'Beta (CTR)'!$R$13*L13+'Beta (CTR)'!$R$14*M13+'Beta (CTR)'!$R$15*N13+'Beta (CTR)'!$R$16*O13+'Beta (CTR)'!$R$17*P13+'Beta (CTR)'!$R$19*R13+'Beta (CTR)'!$R$20*S13+'Beta (CTR)'!$R$21*T13+'Beta (CTR)'!$R$22*U13+'Beta (CTR)'!$R$23*V13+'Beta (CTR)'!$R$24*W13+'Beta (CTR)'!$R$25*X13+'Beta (CTR)'!$R$26*Y13+'Beta (CTR)'!$R$27*Z13+'Beta (CTR)'!$R$28*AA13+'Beta (CTR)'!$R$29*AB13+'Beta (CTR)'!$R$30*AC13+'Beta (CTR)'!$R$31*AD13+'Beta (CTR)'!$R$32*AE13+'Beta (CTR)'!$R$33*AF13+'Beta (CTR)'!$R$37*AJ13+'Beta (CTR)'!$R$41*AN13</f>
        <v>1.0763023671585388</v>
      </c>
    </row>
    <row r="40" spans="1:17" x14ac:dyDescent="0.25">
      <c r="A40" s="625">
        <v>13</v>
      </c>
      <c r="B40" s="626">
        <f>+'Beta (CTR)'!$C$3*B14+'Beta (CTR)'!$C$8*G14+'Beta (CTR)'!$C$21*T14+'Beta (CTR)'!$C$22*U14+'Beta (CTR)'!$C$23*V14+'Beta (CTR)'!$C$24*W14+'Beta (CTR)'!$C$27*Z14+'Beta (CTR)'!$C$28*AA14+'Beta (CTR)'!$C$31*AD14</f>
        <v>0.72253151858542009</v>
      </c>
      <c r="C40" s="626">
        <f>+'Beta (CTR)'!$D$3*B14+'Beta (CTR)'!$D$4*C14+'Beta (CTR)'!$D$5*D14+'Beta (CTR)'!$D$10*I14+'Beta (CTR)'!$D$17*P14+'Beta (CTR)'!$D$21*T14+'Beta (CTR)'!$D$22*U14+'Beta (CTR)'!$D$23*V14+'Beta (CTR)'!$D$24*W14+'Beta (CTR)'!$D$25*X14+'Beta (CTR)'!$D$26*Y14+'Beta (CTR)'!$D$27*Z14+'Beta (CTR)'!$D$29*AB14+'Beta (CTR)'!$D$32*AE14+'Beta (CTR)'!$D$33*AF14</f>
        <v>1.1888032132481874</v>
      </c>
      <c r="D40" s="626">
        <f>+'Beta (CTR)'!$E$3*B14+'Beta (CTR)'!$E$4*C14+'Beta (CTR)'!$E$15*N14+'Beta (CTR)'!$E$16*O14+'Beta (CTR)'!$E$21*T14+'Beta (CTR)'!$E$24*W14+'Beta (CTR)'!$E$25*X14+'Beta (CTR)'!$E$27*Z14+'Beta (CTR)'!$E$28*AA14+'Beta (CTR)'!$E$29*AB14</f>
        <v>0.80381116311831013</v>
      </c>
      <c r="E40" s="626">
        <f>+'Beta (CTR)'!$F$4*C14+'Beta (CTR)'!$F$10*I14+'Beta (CTR)'!$F$16*O14+'Beta (CTR)'!$F$21*T14+'Beta (CTR)'!$F$24*W14+'Beta (CTR)'!$F$25*X14+'Beta (CTR)'!$F$26*Y14+'Beta (CTR)'!$F$27*Z14+'Beta (CTR)'!$F$29*AB14+'Beta (CTR)'!$F$30*AC14</f>
        <v>1.2726048048987035</v>
      </c>
      <c r="F40" s="626">
        <f>+'Beta (CTR)'!$G$3*B14+'Beta (CTR)'!$G$11*J14+'Beta (CTR)'!$G$12*K14+'Beta (CTR)'!$G$21*T14+'Beta (CTR)'!$G$23*V14+'Beta (CTR)'!$G$24*W14+'Beta (CTR)'!$G$28*AA14</f>
        <v>0.72958214485395589</v>
      </c>
      <c r="G40" s="626">
        <f>+'Beta (CTR)'!$H$3*B14+'Beta (CTR)'!$H$5*D14+'Beta (CTR)'!$H$7*F14+'Beta (CTR)'!$H$21*T14+'Beta (CTR)'!$H$23*V14+'Beta (CTR)'!$H$24*W14+'Beta (CTR)'!$H$25*X14+'Beta (CTR)'!$H$27*Z14+'Beta (CTR)'!$H$29*AB14+'Beta (CTR)'!$H$32*AE14+'Beta (CTR)'!$H$33*AF14</f>
        <v>1.0611707333292406</v>
      </c>
      <c r="H40" s="626">
        <f>+'Beta (CTR)'!$I$4*C14+'Beta (CTR)'!$I$6*E14+'Beta (CTR)'!$I$9*H14+'Beta (CTR)'!$I$13*L14+'Beta (CTR)'!$I$14*M14+'Beta (CTR)'!$I$19*R14+'Beta (CTR)'!$I$22*U14+'Beta (CTR)'!$I$25*X14+'Beta (CTR)'!$I$30*AC14</f>
        <v>1.4047112413641374</v>
      </c>
      <c r="I40" s="626">
        <f>+'Beta (CTR)'!$J$16*O14+'Beta (CTR)'!$J$20*S14+'Beta (CTR)'!$J$21*T14+'Beta (CTR)'!$J$23*V14+'Beta (CTR)'!$J$24*W14+'Beta (CTR)'!$J$26*Y14+'Beta (CTR)'!$J$27*Z14+'Beta (CTR)'!$J$30*AC14+'Beta (CTR)'!$J$31*AD14+'Beta (CTR)'!$J$32*AE14</f>
        <v>0.89099034658057086</v>
      </c>
      <c r="J40" s="626">
        <f>+'Beta (CTR)'!$K$3*B14+'Beta (CTR)'!$K$4*C14+'Beta (CTR)'!$K$13*L14+'Beta (CTR)'!$K$15*N14+'Beta (CTR)'!$K$18*Q14+'Beta (CTR)'!$K$22*U14+'Beta (CTR)'!$K$23*V14+'Beta (CTR)'!$K$25*X14+'Beta (CTR)'!$K$27*Z14+'Beta (CTR)'!$K$28*AA14+'Beta (CTR)'!$K$29*AB14+'Beta (CTR)'!$K$30*AC14+'Beta (CTR)'!$K$31*AD14+'Beta (CTR)'!$K$32*AE14</f>
        <v>0.97803364152932604</v>
      </c>
      <c r="K40" s="626">
        <f>+'Beta (CTR)'!$L$3*B14+'Beta (CTR)'!$L$6*E14+'Beta (CTR)'!$L$25*X14+'Beta (CTR)'!$L$27*Z14</f>
        <v>2.8888032310540859</v>
      </c>
      <c r="L40" s="626">
        <f>+'Beta (CTR)'!$M$3*B14+'Beta (CTR)'!$M$4*C14+'Beta (CTR)'!$M$5*D14+'Beta (CTR)'!$M$6*E14+'Beta (CTR)'!$M$7*F14+'Beta (CTR)'!$M$8*G14+'Beta (CTR)'!$M$9*H14+'Beta (CTR)'!$M$10*I14+'Beta (CTR)'!$M$13*L14+'Beta (CTR)'!$M$14*M14+'Beta (CTR)'!$M$15*N14+'Beta (CTR)'!$M$16*O14+'Beta (CTR)'!$M$17*P14+'Beta (CTR)'!$M$18*Q14+'Beta (CTR)'!$M$21*T14+'Beta (CTR)'!$M$22*U14+'Beta (CTR)'!$M$23*V14+'Beta (CTR)'!$M$24*W14+'Beta (CTR)'!$M$25*X14+'Beta (CTR)'!$M$26*Y14+'Beta (CTR)'!$M$27*Z14+'Beta (CTR)'!$M$28*AA14+'Beta (CTR)'!$M$29*AB14+'Beta (CTR)'!$M$30*AC14+'Beta (CTR)'!$M$31*AD14+'Beta (CTR)'!$M$32*AE14+'Beta (CTR)'!$M$33*AF14+'Beta (CTR)'!$M$34*AG14+'Beta (CTR)'!$M$35*AH14+'Beta (CTR)'!$M$36*AI14+'Beta (CTR)'!$M$38*AK14+'Beta (CTR)'!$M$40*AM14</f>
        <v>0.95751014631745313</v>
      </c>
      <c r="M40" s="626">
        <f>+'Beta (CTR)'!$N$3*B14+'Beta (CTR)'!$N$4*C14+'Beta (CTR)'!$N$6*E14+'Beta (CTR)'!$N$8*G14+'Beta (CTR)'!$N$9*H14+'Beta (CTR)'!$N$10*I14+'Beta (CTR)'!$N$13*L14+'Beta (CTR)'!$N$14*M14+'Beta (CTR)'!$N$15*N14+'Beta (CTR)'!$N$16*O14+'Beta (CTR)'!$N$18*Q14+'Beta (CTR)'!$N$19*R14+'Beta (CTR)'!$N$21*T14+'Beta (CTR)'!$N$22*U14+'Beta (CTR)'!$N$23*V14+'Beta (CTR)'!$N$24*W14+'Beta (CTR)'!$N$25*X14+'Beta (CTR)'!$N$26*Y14+'Beta (CTR)'!$N$27*Z14+'Beta (CTR)'!$N$28*AA14+'Beta (CTR)'!$N$29*AB14+'Beta (CTR)'!$N$30*AC14+'Beta (CTR)'!$N$31*AD14+'Beta (CTR)'!$N$32*AE14+'Beta (CTR)'!$N$34*AG14+'Beta (CTR)'!$N$36*AI14+'Beta (CTR)'!$N$42*AO14</f>
        <v>1.1768571775834531</v>
      </c>
      <c r="N40" s="626">
        <f>+'Beta (CTR)'!$O$3*B14+'Beta (CTR)'!$O$5*D14+'Beta (CTR)'!$O$7*F14+'Beta (CTR)'!$O$8*G14+'Beta (CTR)'!$O$21*T14+'Beta (CTR)'!$O$22*U14+'Beta (CTR)'!$O$23*V14+'Beta (CTR)'!$O$24*W14+'Beta (CTR)'!$O$25*X14+'Beta (CTR)'!$O$27*Z14+'Beta (CTR)'!$O$28*AA14+'Beta (CTR)'!$O$29*AB14+'Beta (CTR)'!$O$31*AD14+'Beta (CTR)'!$O$32*AE14+'Beta (CTR)'!$O$33*AF14+'Beta (CTR)'!$O$34*AG14</f>
        <v>1.0502077981963633</v>
      </c>
      <c r="O40" s="626">
        <f>+'Beta (CTR)'!$P$3*B14+'Beta (CTR)'!$P$5*D14+'Beta (CTR)'!$P$7*F14+'Beta (CTR)'!$P$8*G14+'Beta (CTR)'!$P$21*T14+'Beta (CTR)'!$P$22*U14+'Beta (CTR)'!$P$23*V14+'Beta (CTR)'!$P$24*W14+'Beta (CTR)'!$P$25*X14+'Beta (CTR)'!$P$27*Z14+'Beta (CTR)'!$P$28*AA14+'Beta (CTR)'!$P$29*AB14+'Beta (CTR)'!$P$31*AD14+'Beta (CTR)'!$P$32*AE14+'Beta (CTR)'!$P$33*AF14+'Beta (CTR)'!$P$34*AG14+'Beta (CTR)'!$P$39*AL14</f>
        <v>1.0653520425717431</v>
      </c>
      <c r="P40" s="626">
        <f>+'Beta (CTR)'!$Q$3*B14+'Beta (CTR)'!$Q$4*C14+'Beta (CTR)'!$Q$5*D14+'Beta (CTR)'!$Q$6*E14+'Beta (CTR)'!$Q$9*H14+'Beta (CTR)'!$Q$10*I14+'Beta (CTR)'!$Q$11*J14+'Beta (CTR)'!$Q$12*K14+'Beta (CTR)'!$Q$13*L14+'Beta (CTR)'!$Q$14*M14+'Beta (CTR)'!$Q$15*N14+'Beta (CTR)'!$Q$16*O14+'Beta (CTR)'!$Q$17*P14+'Beta (CTR)'!$Q$19*R14+'Beta (CTR)'!$Q$20*S14+'Beta (CTR)'!$Q$21*T14+'Beta (CTR)'!$Q$22*U14+'Beta (CTR)'!$Q$23*V14+'Beta (CTR)'!$Q$24*W14+'Beta (CTR)'!$Q$25*X14+'Beta (CTR)'!$Q$26*Y14+'Beta (CTR)'!$Q$27*Z14+'Beta (CTR)'!$Q$28*AA14+'Beta (CTR)'!$Q$29*AB14+'Beta (CTR)'!$Q$30*AC14+'Beta (CTR)'!$Q$31*AD14+'Beta (CTR)'!$Q$32*AE14+'Beta (CTR)'!$Q$33*AF14+'Beta (CTR)'!$Q$37*AJ14+'Beta (CTR)'!$Q$41*AN14</f>
        <v>1.1698149929920505</v>
      </c>
      <c r="Q40" s="626">
        <f>+'Beta (CTR)'!$R$3*B14+'Beta (CTR)'!$R$4*C14+'Beta (CTR)'!$R$5*D14+'Beta (CTR)'!$R$6*E14+'Beta (CTR)'!$R$9*H14+'Beta (CTR)'!$R$10*I14+'Beta (CTR)'!$R$11*J14+'Beta (CTR)'!$R$12*K14+'Beta (CTR)'!$R$13*L14+'Beta (CTR)'!$R$14*M14+'Beta (CTR)'!$R$15*N14+'Beta (CTR)'!$R$16*O14+'Beta (CTR)'!$R$17*P14+'Beta (CTR)'!$R$19*R14+'Beta (CTR)'!$R$20*S14+'Beta (CTR)'!$R$21*T14+'Beta (CTR)'!$R$22*U14+'Beta (CTR)'!$R$23*V14+'Beta (CTR)'!$R$24*W14+'Beta (CTR)'!$R$25*X14+'Beta (CTR)'!$R$26*Y14+'Beta (CTR)'!$R$27*Z14+'Beta (CTR)'!$R$28*AA14+'Beta (CTR)'!$R$29*AB14+'Beta (CTR)'!$R$30*AC14+'Beta (CTR)'!$R$31*AD14+'Beta (CTR)'!$R$32*AE14+'Beta (CTR)'!$R$33*AF14+'Beta (CTR)'!$R$37*AJ14+'Beta (CTR)'!$R$41*AN14</f>
        <v>1.1698149929920505</v>
      </c>
    </row>
    <row r="41" spans="1:17" x14ac:dyDescent="0.25">
      <c r="A41" s="625">
        <v>14</v>
      </c>
      <c r="B41" s="626">
        <f>+'Beta (CTR)'!$C$3*B15+'Beta (CTR)'!$C$8*G15+'Beta (CTR)'!$C$21*T15+'Beta (CTR)'!$C$22*U15+'Beta (CTR)'!$C$23*V15+'Beta (CTR)'!$C$24*W15+'Beta (CTR)'!$C$27*Z15+'Beta (CTR)'!$C$28*AA15+'Beta (CTR)'!$C$31*AD15</f>
        <v>0.59537566584689339</v>
      </c>
      <c r="C41" s="626">
        <f>+'Beta (CTR)'!$D$3*B15+'Beta (CTR)'!$D$4*C15+'Beta (CTR)'!$D$5*D15+'Beta (CTR)'!$D$10*I15+'Beta (CTR)'!$D$17*P15+'Beta (CTR)'!$D$21*T15+'Beta (CTR)'!$D$22*U15+'Beta (CTR)'!$D$23*V15+'Beta (CTR)'!$D$24*W15+'Beta (CTR)'!$D$25*X15+'Beta (CTR)'!$D$26*Y15+'Beta (CTR)'!$D$27*Z15+'Beta (CTR)'!$D$29*AB15+'Beta (CTR)'!$D$32*AE15+'Beta (CTR)'!$D$33*AF15</f>
        <v>0.81311153494235699</v>
      </c>
      <c r="D41" s="626">
        <f>+'Beta (CTR)'!$E$3*B15+'Beta (CTR)'!$E$4*C15+'Beta (CTR)'!$E$15*N15+'Beta (CTR)'!$E$16*O15+'Beta (CTR)'!$E$21*T15+'Beta (CTR)'!$E$24*W15+'Beta (CTR)'!$E$25*X15+'Beta (CTR)'!$E$27*Z15+'Beta (CTR)'!$E$28*AA15+'Beta (CTR)'!$E$29*AB15</f>
        <v>0.9764069450940096</v>
      </c>
      <c r="E41" s="626">
        <f>+'Beta (CTR)'!$F$4*C15+'Beta (CTR)'!$F$10*I15+'Beta (CTR)'!$F$16*O15+'Beta (CTR)'!$F$21*T15+'Beta (CTR)'!$F$24*W15+'Beta (CTR)'!$F$25*X15+'Beta (CTR)'!$F$26*Y15+'Beta (CTR)'!$F$27*Z15+'Beta (CTR)'!$F$29*AB15+'Beta (CTR)'!$F$30*AC15</f>
        <v>1.166400783990402</v>
      </c>
      <c r="F41" s="626">
        <f>+'Beta (CTR)'!$G$3*B15+'Beta (CTR)'!$G$11*J15+'Beta (CTR)'!$G$12*K15+'Beta (CTR)'!$G$21*T15+'Beta (CTR)'!$G$23*V15+'Beta (CTR)'!$G$24*W15+'Beta (CTR)'!$G$28*AA15</f>
        <v>0.63987936653247768</v>
      </c>
      <c r="G41" s="626">
        <f>+'Beta (CTR)'!$H$3*B15+'Beta (CTR)'!$H$5*D15+'Beta (CTR)'!$H$7*F15+'Beta (CTR)'!$H$21*T15+'Beta (CTR)'!$H$23*V15+'Beta (CTR)'!$H$24*W15+'Beta (CTR)'!$H$25*X15+'Beta (CTR)'!$H$27*Z15+'Beta (CTR)'!$H$29*AB15+'Beta (CTR)'!$H$32*AE15+'Beta (CTR)'!$H$33*AF15</f>
        <v>0.77740747852306213</v>
      </c>
      <c r="H41" s="626">
        <f>+'Beta (CTR)'!$I$4*C15+'Beta (CTR)'!$I$6*E15+'Beta (CTR)'!$I$9*H15+'Beta (CTR)'!$I$13*L15+'Beta (CTR)'!$I$14*M15+'Beta (CTR)'!$I$19*R15+'Beta (CTR)'!$I$22*U15+'Beta (CTR)'!$I$25*X15+'Beta (CTR)'!$I$30*AC15</f>
        <v>1.678461903399028</v>
      </c>
      <c r="I41" s="626">
        <f>+'Beta (CTR)'!$J$16*O15+'Beta (CTR)'!$J$20*S15+'Beta (CTR)'!$J$21*T15+'Beta (CTR)'!$J$23*V15+'Beta (CTR)'!$J$24*W15+'Beta (CTR)'!$J$26*Y15+'Beta (CTR)'!$J$27*Z15+'Beta (CTR)'!$J$30*AC15+'Beta (CTR)'!$J$31*AD15+'Beta (CTR)'!$J$32*AE15</f>
        <v>0.75214914983288672</v>
      </c>
      <c r="J41" s="626">
        <f>+'Beta (CTR)'!$K$3*B15+'Beta (CTR)'!$K$4*C15+'Beta (CTR)'!$K$13*L15+'Beta (CTR)'!$K$15*N15+'Beta (CTR)'!$K$18*Q15+'Beta (CTR)'!$K$22*U15+'Beta (CTR)'!$K$23*V15+'Beta (CTR)'!$K$25*X15+'Beta (CTR)'!$K$27*Z15+'Beta (CTR)'!$K$28*AA15+'Beta (CTR)'!$K$29*AB15+'Beta (CTR)'!$K$30*AC15+'Beta (CTR)'!$K$31*AD15+'Beta (CTR)'!$K$32*AE15</f>
        <v>0.95407809740624294</v>
      </c>
      <c r="K41" s="626">
        <f>+'Beta (CTR)'!$L$3*B15+'Beta (CTR)'!$L$6*E15+'Beta (CTR)'!$L$25*X15+'Beta (CTR)'!$L$27*Z15</f>
        <v>2.4103271690556731</v>
      </c>
      <c r="L41" s="626">
        <f>+'Beta (CTR)'!$M$3*B15+'Beta (CTR)'!$M$4*C15+'Beta (CTR)'!$M$5*D15+'Beta (CTR)'!$M$6*E15+'Beta (CTR)'!$M$7*F15+'Beta (CTR)'!$M$8*G15+'Beta (CTR)'!$M$9*H15+'Beta (CTR)'!$M$10*I15+'Beta (CTR)'!$M$13*L15+'Beta (CTR)'!$M$14*M15+'Beta (CTR)'!$M$15*N15+'Beta (CTR)'!$M$16*O15+'Beta (CTR)'!$M$17*P15+'Beta (CTR)'!$M$18*Q15+'Beta (CTR)'!$M$21*T15+'Beta (CTR)'!$M$22*U15+'Beta (CTR)'!$M$23*V15+'Beta (CTR)'!$M$24*W15+'Beta (CTR)'!$M$25*X15+'Beta (CTR)'!$M$26*Y15+'Beta (CTR)'!$M$27*Z15+'Beta (CTR)'!$M$28*AA15+'Beta (CTR)'!$M$29*AB15+'Beta (CTR)'!$M$30*AC15+'Beta (CTR)'!$M$31*AD15+'Beta (CTR)'!$M$32*AE15+'Beta (CTR)'!$M$33*AF15+'Beta (CTR)'!$M$34*AG15+'Beta (CTR)'!$M$35*AH15+'Beta (CTR)'!$M$36*AI15+'Beta (CTR)'!$M$38*AK15+'Beta (CTR)'!$M$40*AM15</f>
        <v>0.911514439879206</v>
      </c>
      <c r="M41" s="626">
        <f>+'Beta (CTR)'!$N$3*B15+'Beta (CTR)'!$N$4*C15+'Beta (CTR)'!$N$6*E15+'Beta (CTR)'!$N$8*G15+'Beta (CTR)'!$N$9*H15+'Beta (CTR)'!$N$10*I15+'Beta (CTR)'!$N$13*L15+'Beta (CTR)'!$N$14*M15+'Beta (CTR)'!$N$15*N15+'Beta (CTR)'!$N$16*O15+'Beta (CTR)'!$N$18*Q15+'Beta (CTR)'!$N$19*R15+'Beta (CTR)'!$N$21*T15+'Beta (CTR)'!$N$22*U15+'Beta (CTR)'!$N$23*V15+'Beta (CTR)'!$N$24*W15+'Beta (CTR)'!$N$25*X15+'Beta (CTR)'!$N$26*Y15+'Beta (CTR)'!$N$27*Z15+'Beta (CTR)'!$N$28*AA15+'Beta (CTR)'!$N$29*AB15+'Beta (CTR)'!$N$30*AC15+'Beta (CTR)'!$N$31*AD15+'Beta (CTR)'!$N$32*AE15+'Beta (CTR)'!$N$34*AG15+'Beta (CTR)'!$N$36*AI15+'Beta (CTR)'!$N$42*AO15</f>
        <v>1.3320454797901262</v>
      </c>
      <c r="N41" s="626">
        <f>+'Beta (CTR)'!$O$3*B15+'Beta (CTR)'!$O$5*D15+'Beta (CTR)'!$O$7*F15+'Beta (CTR)'!$O$8*G15+'Beta (CTR)'!$O$21*T15+'Beta (CTR)'!$O$22*U15+'Beta (CTR)'!$O$23*V15+'Beta (CTR)'!$O$24*W15+'Beta (CTR)'!$O$25*X15+'Beta (CTR)'!$O$27*Z15+'Beta (CTR)'!$O$28*AA15+'Beta (CTR)'!$O$29*AB15+'Beta (CTR)'!$O$31*AD15+'Beta (CTR)'!$O$32*AE15+'Beta (CTR)'!$O$33*AF15+'Beta (CTR)'!$O$34*AG15</f>
        <v>0.93317204113956331</v>
      </c>
      <c r="O41" s="626">
        <f>+'Beta (CTR)'!$P$3*B15+'Beta (CTR)'!$P$5*D15+'Beta (CTR)'!$P$7*F15+'Beta (CTR)'!$P$8*G15+'Beta (CTR)'!$P$21*T15+'Beta (CTR)'!$P$22*U15+'Beta (CTR)'!$P$23*V15+'Beta (CTR)'!$P$24*W15+'Beta (CTR)'!$P$25*X15+'Beta (CTR)'!$P$27*Z15+'Beta (CTR)'!$P$28*AA15+'Beta (CTR)'!$P$29*AB15+'Beta (CTR)'!$P$31*AD15+'Beta (CTR)'!$P$32*AE15+'Beta (CTR)'!$P$33*AF15+'Beta (CTR)'!$P$34*AG15+'Beta (CTR)'!$P$39*AL15</f>
        <v>0.99655269738704311</v>
      </c>
      <c r="P41" s="626">
        <f>+'Beta (CTR)'!$Q$3*B15+'Beta (CTR)'!$Q$4*C15+'Beta (CTR)'!$Q$5*D15+'Beta (CTR)'!$Q$6*E15+'Beta (CTR)'!$Q$9*H15+'Beta (CTR)'!$Q$10*I15+'Beta (CTR)'!$Q$11*J15+'Beta (CTR)'!$Q$12*K15+'Beta (CTR)'!$Q$13*L15+'Beta (CTR)'!$Q$14*M15+'Beta (CTR)'!$Q$15*N15+'Beta (CTR)'!$Q$16*O15+'Beta (CTR)'!$Q$17*P15+'Beta (CTR)'!$Q$19*R15+'Beta (CTR)'!$Q$20*S15+'Beta (CTR)'!$Q$21*T15+'Beta (CTR)'!$Q$22*U15+'Beta (CTR)'!$Q$23*V15+'Beta (CTR)'!$Q$24*W15+'Beta (CTR)'!$Q$25*X15+'Beta (CTR)'!$Q$26*Y15+'Beta (CTR)'!$Q$27*Z15+'Beta (CTR)'!$Q$28*AA15+'Beta (CTR)'!$Q$29*AB15+'Beta (CTR)'!$Q$30*AC15+'Beta (CTR)'!$Q$31*AD15+'Beta (CTR)'!$Q$32*AE15+'Beta (CTR)'!$Q$33*AF15+'Beta (CTR)'!$Q$37*AJ15+'Beta (CTR)'!$Q$41*AN15</f>
        <v>0.93015167773153939</v>
      </c>
      <c r="Q41" s="626">
        <f>+'Beta (CTR)'!$R$3*B15+'Beta (CTR)'!$R$4*C15+'Beta (CTR)'!$R$5*D15+'Beta (CTR)'!$R$6*E15+'Beta (CTR)'!$R$9*H15+'Beta (CTR)'!$R$10*I15+'Beta (CTR)'!$R$11*J15+'Beta (CTR)'!$R$12*K15+'Beta (CTR)'!$R$13*L15+'Beta (CTR)'!$R$14*M15+'Beta (CTR)'!$R$15*N15+'Beta (CTR)'!$R$16*O15+'Beta (CTR)'!$R$17*P15+'Beta (CTR)'!$R$19*R15+'Beta (CTR)'!$R$20*S15+'Beta (CTR)'!$R$21*T15+'Beta (CTR)'!$R$22*U15+'Beta (CTR)'!$R$23*V15+'Beta (CTR)'!$R$24*W15+'Beta (CTR)'!$R$25*X15+'Beta (CTR)'!$R$26*Y15+'Beta (CTR)'!$R$27*Z15+'Beta (CTR)'!$R$28*AA15+'Beta (CTR)'!$R$29*AB15+'Beta (CTR)'!$R$30*AC15+'Beta (CTR)'!$R$31*AD15+'Beta (CTR)'!$R$32*AE15+'Beta (CTR)'!$R$33*AF15+'Beta (CTR)'!$R$37*AJ15+'Beta (CTR)'!$R$41*AN15</f>
        <v>0.93015167773153939</v>
      </c>
    </row>
    <row r="42" spans="1:17" x14ac:dyDescent="0.25">
      <c r="A42" s="625">
        <v>15</v>
      </c>
      <c r="B42" s="626">
        <f>+'Beta (CTR)'!$C$3*B16+'Beta (CTR)'!$C$8*G16+'Beta (CTR)'!$C$21*T16+'Beta (CTR)'!$C$22*U16+'Beta (CTR)'!$C$23*V16+'Beta (CTR)'!$C$24*W16+'Beta (CTR)'!$C$27*Z16+'Beta (CTR)'!$C$28*AA16+'Beta (CTR)'!$C$31*AD16</f>
        <v>0.66406325168754143</v>
      </c>
      <c r="C42" s="626">
        <f>+'Beta (CTR)'!$D$3*B16+'Beta (CTR)'!$D$4*C16+'Beta (CTR)'!$D$5*D16+'Beta (CTR)'!$D$10*I16+'Beta (CTR)'!$D$17*P16+'Beta (CTR)'!$D$21*T16+'Beta (CTR)'!$D$22*U16+'Beta (CTR)'!$D$23*V16+'Beta (CTR)'!$D$24*W16+'Beta (CTR)'!$D$25*X16+'Beta (CTR)'!$D$26*Y16+'Beta (CTR)'!$D$27*Z16+'Beta (CTR)'!$D$29*AB16+'Beta (CTR)'!$D$32*AE16+'Beta (CTR)'!$D$33*AF16</f>
        <v>0.85257690827322685</v>
      </c>
      <c r="D42" s="626">
        <f>+'Beta (CTR)'!$E$3*B16+'Beta (CTR)'!$E$4*C16+'Beta (CTR)'!$E$15*N16+'Beta (CTR)'!$E$16*O16+'Beta (CTR)'!$E$21*T16+'Beta (CTR)'!$E$24*W16+'Beta (CTR)'!$E$25*X16+'Beta (CTR)'!$E$27*Z16+'Beta (CTR)'!$E$28*AA16+'Beta (CTR)'!$E$29*AB16</f>
        <v>1.2173064953693187</v>
      </c>
      <c r="E42" s="626">
        <f>+'Beta (CTR)'!$F$4*C16+'Beta (CTR)'!$F$10*I16+'Beta (CTR)'!$F$16*O16+'Beta (CTR)'!$F$21*T16+'Beta (CTR)'!$F$24*W16+'Beta (CTR)'!$F$25*X16+'Beta (CTR)'!$F$26*Y16+'Beta (CTR)'!$F$27*Z16+'Beta (CTR)'!$F$29*AB16+'Beta (CTR)'!$F$30*AC16</f>
        <v>1.1903306741190756</v>
      </c>
      <c r="F42" s="626">
        <f>+'Beta (CTR)'!$G$3*B16+'Beta (CTR)'!$G$11*J16+'Beta (CTR)'!$G$12*K16+'Beta (CTR)'!$G$21*T16+'Beta (CTR)'!$G$23*V16+'Beta (CTR)'!$G$24*W16+'Beta (CTR)'!$G$28*AA16</f>
        <v>0.72645176213429585</v>
      </c>
      <c r="G42" s="626">
        <f>+'Beta (CTR)'!$H$3*B16+'Beta (CTR)'!$H$5*D16+'Beta (CTR)'!$H$7*F16+'Beta (CTR)'!$H$21*T16+'Beta (CTR)'!$H$23*V16+'Beta (CTR)'!$H$24*W16+'Beta (CTR)'!$H$25*X16+'Beta (CTR)'!$H$27*Z16+'Beta (CTR)'!$H$29*AB16+'Beta (CTR)'!$H$32*AE16+'Beta (CTR)'!$H$33*AF16</f>
        <v>0.84630719172204028</v>
      </c>
      <c r="H42" s="626">
        <f>+'Beta (CTR)'!$I$4*C16+'Beta (CTR)'!$I$6*E16+'Beta (CTR)'!$I$9*H16+'Beta (CTR)'!$I$13*L16+'Beta (CTR)'!$I$14*M16+'Beta (CTR)'!$I$19*R16+'Beta (CTR)'!$I$22*U16+'Beta (CTR)'!$I$25*X16+'Beta (CTR)'!$I$30*AC16</f>
        <v>2.0363940341499123</v>
      </c>
      <c r="I42" s="626">
        <f>+'Beta (CTR)'!$J$16*O16+'Beta (CTR)'!$J$20*S16+'Beta (CTR)'!$J$21*T16+'Beta (CTR)'!$J$23*V16+'Beta (CTR)'!$J$24*W16+'Beta (CTR)'!$J$26*Y16+'Beta (CTR)'!$J$27*Z16+'Beta (CTR)'!$J$30*AC16+'Beta (CTR)'!$J$31*AD16+'Beta (CTR)'!$J$32*AE16</f>
        <v>0.72367197824765661</v>
      </c>
      <c r="J42" s="626">
        <f>+'Beta (CTR)'!$K$3*B16+'Beta (CTR)'!$K$4*C16+'Beta (CTR)'!$K$13*L16+'Beta (CTR)'!$K$15*N16+'Beta (CTR)'!$K$18*Q16+'Beta (CTR)'!$K$22*U16+'Beta (CTR)'!$K$23*V16+'Beta (CTR)'!$K$25*X16+'Beta (CTR)'!$K$27*Z16+'Beta (CTR)'!$K$28*AA16+'Beta (CTR)'!$K$29*AB16+'Beta (CTR)'!$K$30*AC16+'Beta (CTR)'!$K$31*AD16+'Beta (CTR)'!$K$32*AE16</f>
        <v>1.1915393427345102</v>
      </c>
      <c r="K42" s="626">
        <f>+'Beta (CTR)'!$L$3*B16+'Beta (CTR)'!$L$6*E16+'Beta (CTR)'!$L$25*X16+'Beta (CTR)'!$L$27*Z16</f>
        <v>1.8211383529264107</v>
      </c>
      <c r="L42" s="626">
        <f>+'Beta (CTR)'!$M$3*B16+'Beta (CTR)'!$M$4*C16+'Beta (CTR)'!$M$5*D16+'Beta (CTR)'!$M$6*E16+'Beta (CTR)'!$M$7*F16+'Beta (CTR)'!$M$8*G16+'Beta (CTR)'!$M$9*H16+'Beta (CTR)'!$M$10*I16+'Beta (CTR)'!$M$13*L16+'Beta (CTR)'!$M$14*M16+'Beta (CTR)'!$M$15*N16+'Beta (CTR)'!$M$16*O16+'Beta (CTR)'!$M$17*P16+'Beta (CTR)'!$M$18*Q16+'Beta (CTR)'!$M$21*T16+'Beta (CTR)'!$M$22*U16+'Beta (CTR)'!$M$23*V16+'Beta (CTR)'!$M$24*W16+'Beta (CTR)'!$M$25*X16+'Beta (CTR)'!$M$26*Y16+'Beta (CTR)'!$M$27*Z16+'Beta (CTR)'!$M$28*AA16+'Beta (CTR)'!$M$29*AB16+'Beta (CTR)'!$M$30*AC16+'Beta (CTR)'!$M$31*AD16+'Beta (CTR)'!$M$32*AE16+'Beta (CTR)'!$M$33*AF16+'Beta (CTR)'!$M$34*AG16+'Beta (CTR)'!$M$35*AH16+'Beta (CTR)'!$M$36*AI16+'Beta (CTR)'!$M$38*AK16+'Beta (CTR)'!$M$40*AM16</f>
        <v>0.989860139544392</v>
      </c>
      <c r="M42" s="626">
        <f>+'Beta (CTR)'!$N$3*B16+'Beta (CTR)'!$N$4*C16+'Beta (CTR)'!$N$6*E16+'Beta (CTR)'!$N$8*G16+'Beta (CTR)'!$N$9*H16+'Beta (CTR)'!$N$10*I16+'Beta (CTR)'!$N$13*L16+'Beta (CTR)'!$N$14*M16+'Beta (CTR)'!$N$15*N16+'Beta (CTR)'!$N$16*O16+'Beta (CTR)'!$N$18*Q16+'Beta (CTR)'!$N$19*R16+'Beta (CTR)'!$N$21*T16+'Beta (CTR)'!$N$22*U16+'Beta (CTR)'!$N$23*V16+'Beta (CTR)'!$N$24*W16+'Beta (CTR)'!$N$25*X16+'Beta (CTR)'!$N$26*Y16+'Beta (CTR)'!$N$27*Z16+'Beta (CTR)'!$N$28*AA16+'Beta (CTR)'!$N$29*AB16+'Beta (CTR)'!$N$30*AC16+'Beta (CTR)'!$N$31*AD16+'Beta (CTR)'!$N$32*AE16+'Beta (CTR)'!$N$34*AG16+'Beta (CTR)'!$N$36*AI16+'Beta (CTR)'!$N$42*AO16</f>
        <v>1.5349936330948657</v>
      </c>
      <c r="N42" s="626">
        <f>+'Beta (CTR)'!$O$3*B16+'Beta (CTR)'!$O$5*D16+'Beta (CTR)'!$O$7*F16+'Beta (CTR)'!$O$8*G16+'Beta (CTR)'!$O$21*T16+'Beta (CTR)'!$O$22*U16+'Beta (CTR)'!$O$23*V16+'Beta (CTR)'!$O$24*W16+'Beta (CTR)'!$O$25*X16+'Beta (CTR)'!$O$27*Z16+'Beta (CTR)'!$O$28*AA16+'Beta (CTR)'!$O$29*AB16+'Beta (CTR)'!$O$31*AD16+'Beta (CTR)'!$O$32*AE16+'Beta (CTR)'!$O$33*AF16+'Beta (CTR)'!$O$34*AG16</f>
        <v>1.0056185818026999</v>
      </c>
      <c r="O42" s="626">
        <f>+'Beta (CTR)'!$P$3*B16+'Beta (CTR)'!$P$5*D16+'Beta (CTR)'!$P$7*F16+'Beta (CTR)'!$P$8*G16+'Beta (CTR)'!$P$21*T16+'Beta (CTR)'!$P$22*U16+'Beta (CTR)'!$P$23*V16+'Beta (CTR)'!$P$24*W16+'Beta (CTR)'!$P$25*X16+'Beta (CTR)'!$P$27*Z16+'Beta (CTR)'!$P$28*AA16+'Beta (CTR)'!$P$29*AB16+'Beta (CTR)'!$P$31*AD16+'Beta (CTR)'!$P$32*AE16+'Beta (CTR)'!$P$33*AF16+'Beta (CTR)'!$P$34*AG16+'Beta (CTR)'!$P$39*AL16</f>
        <v>1.0684104072350036</v>
      </c>
      <c r="P42" s="626">
        <f>+'Beta (CTR)'!$Q$3*B16+'Beta (CTR)'!$Q$4*C16+'Beta (CTR)'!$Q$5*D16+'Beta (CTR)'!$Q$6*E16+'Beta (CTR)'!$Q$9*H16+'Beta (CTR)'!$Q$10*I16+'Beta (CTR)'!$Q$11*J16+'Beta (CTR)'!$Q$12*K16+'Beta (CTR)'!$Q$13*L16+'Beta (CTR)'!$Q$14*M16+'Beta (CTR)'!$Q$15*N16+'Beta (CTR)'!$Q$16*O16+'Beta (CTR)'!$Q$17*P16+'Beta (CTR)'!$Q$19*R16+'Beta (CTR)'!$Q$20*S16+'Beta (CTR)'!$Q$21*T16+'Beta (CTR)'!$Q$22*U16+'Beta (CTR)'!$Q$23*V16+'Beta (CTR)'!$Q$24*W16+'Beta (CTR)'!$Q$25*X16+'Beta (CTR)'!$Q$26*Y16+'Beta (CTR)'!$Q$27*Z16+'Beta (CTR)'!$Q$28*AA16+'Beta (CTR)'!$Q$29*AB16+'Beta (CTR)'!$Q$30*AC16+'Beta (CTR)'!$Q$31*AD16+'Beta (CTR)'!$Q$32*AE16+'Beta (CTR)'!$Q$33*AF16+'Beta (CTR)'!$Q$37*AJ16+'Beta (CTR)'!$Q$41*AN16</f>
        <v>0.99704840377004456</v>
      </c>
      <c r="Q42" s="626">
        <f>+'Beta (CTR)'!$R$3*B16+'Beta (CTR)'!$R$4*C16+'Beta (CTR)'!$R$5*D16+'Beta (CTR)'!$R$6*E16+'Beta (CTR)'!$R$9*H16+'Beta (CTR)'!$R$10*I16+'Beta (CTR)'!$R$11*J16+'Beta (CTR)'!$R$12*K16+'Beta (CTR)'!$R$13*L16+'Beta (CTR)'!$R$14*M16+'Beta (CTR)'!$R$15*N16+'Beta (CTR)'!$R$16*O16+'Beta (CTR)'!$R$17*P16+'Beta (CTR)'!$R$19*R16+'Beta (CTR)'!$R$20*S16+'Beta (CTR)'!$R$21*T16+'Beta (CTR)'!$R$22*U16+'Beta (CTR)'!$R$23*V16+'Beta (CTR)'!$R$24*W16+'Beta (CTR)'!$R$25*X16+'Beta (CTR)'!$R$26*Y16+'Beta (CTR)'!$R$27*Z16+'Beta (CTR)'!$R$28*AA16+'Beta (CTR)'!$R$29*AB16+'Beta (CTR)'!$R$30*AC16+'Beta (CTR)'!$R$31*AD16+'Beta (CTR)'!$R$32*AE16+'Beta (CTR)'!$R$33*AF16+'Beta (CTR)'!$R$37*AJ16+'Beta (CTR)'!$R$41*AN16</f>
        <v>0.99704840377004456</v>
      </c>
    </row>
    <row r="43" spans="1:17" x14ac:dyDescent="0.25">
      <c r="A43" s="625">
        <v>16</v>
      </c>
      <c r="B43" s="626">
        <f>+'Beta (CTR)'!$C$3*B17+'Beta (CTR)'!$C$8*G17+'Beta (CTR)'!$C$21*T17+'Beta (CTR)'!$C$22*U17+'Beta (CTR)'!$C$23*V17+'Beta (CTR)'!$C$24*W17+'Beta (CTR)'!$C$27*Z17+'Beta (CTR)'!$C$28*AA17+'Beta (CTR)'!$C$31*AD17</f>
        <v>0.66857234794682363</v>
      </c>
      <c r="C43" s="626">
        <f>+'Beta (CTR)'!$D$3*B17+'Beta (CTR)'!$D$4*C17+'Beta (CTR)'!$D$5*D17+'Beta (CTR)'!$D$10*I17+'Beta (CTR)'!$D$17*P17+'Beta (CTR)'!$D$21*T17+'Beta (CTR)'!$D$22*U17+'Beta (CTR)'!$D$23*V17+'Beta (CTR)'!$D$24*W17+'Beta (CTR)'!$D$25*X17+'Beta (CTR)'!$D$26*Y17+'Beta (CTR)'!$D$27*Z17+'Beta (CTR)'!$D$29*AB17+'Beta (CTR)'!$D$32*AE17+'Beta (CTR)'!$D$33*AF17</f>
        <v>0.82188717131439537</v>
      </c>
      <c r="D43" s="626">
        <f>+'Beta (CTR)'!$E$3*B17+'Beta (CTR)'!$E$4*C17+'Beta (CTR)'!$E$15*N17+'Beta (CTR)'!$E$16*O17+'Beta (CTR)'!$E$21*T17+'Beta (CTR)'!$E$24*W17+'Beta (CTR)'!$E$25*X17+'Beta (CTR)'!$E$27*Z17+'Beta (CTR)'!$E$28*AA17+'Beta (CTR)'!$E$29*AB17</f>
        <v>1.2563888006902633</v>
      </c>
      <c r="E43" s="626">
        <f>+'Beta (CTR)'!$F$4*C17+'Beta (CTR)'!$F$10*I17+'Beta (CTR)'!$F$16*O17+'Beta (CTR)'!$F$21*T17+'Beta (CTR)'!$F$24*W17+'Beta (CTR)'!$F$25*X17+'Beta (CTR)'!$F$26*Y17+'Beta (CTR)'!$F$27*Z17+'Beta (CTR)'!$F$29*AB17+'Beta (CTR)'!$F$30*AC17</f>
        <v>1.1990170448323032</v>
      </c>
      <c r="F43" s="626">
        <f>+'Beta (CTR)'!$G$3*B17+'Beta (CTR)'!$G$11*J17+'Beta (CTR)'!$G$12*K17+'Beta (CTR)'!$G$21*T17+'Beta (CTR)'!$G$23*V17+'Beta (CTR)'!$G$24*W17+'Beta (CTR)'!$G$28*AA17</f>
        <v>0.72386765112737339</v>
      </c>
      <c r="G43" s="626">
        <f>+'Beta (CTR)'!$H$3*B17+'Beta (CTR)'!$H$5*D17+'Beta (CTR)'!$H$7*F17+'Beta (CTR)'!$H$21*T17+'Beta (CTR)'!$H$23*V17+'Beta (CTR)'!$H$24*W17+'Beta (CTR)'!$H$25*X17+'Beta (CTR)'!$H$27*Z17+'Beta (CTR)'!$H$29*AB17+'Beta (CTR)'!$H$32*AE17+'Beta (CTR)'!$H$33*AF17</f>
        <v>0.86647525686700821</v>
      </c>
      <c r="H43" s="626">
        <f>+'Beta (CTR)'!$I$4*C17+'Beta (CTR)'!$I$6*E17+'Beta (CTR)'!$I$9*H17+'Beta (CTR)'!$I$13*L17+'Beta (CTR)'!$I$14*M17+'Beta (CTR)'!$I$19*R17+'Beta (CTR)'!$I$22*U17+'Beta (CTR)'!$I$25*X17+'Beta (CTR)'!$I$30*AC17</f>
        <v>2.1623393147368581</v>
      </c>
      <c r="I43" s="626">
        <f>+'Beta (CTR)'!$J$16*O17+'Beta (CTR)'!$J$20*S17+'Beta (CTR)'!$J$21*T17+'Beta (CTR)'!$J$23*V17+'Beta (CTR)'!$J$24*W17+'Beta (CTR)'!$J$26*Y17+'Beta (CTR)'!$J$27*Z17+'Beta (CTR)'!$J$30*AC17+'Beta (CTR)'!$J$31*AD17+'Beta (CTR)'!$J$32*AE17</f>
        <v>0.78976749704410265</v>
      </c>
      <c r="J43" s="626">
        <f>+'Beta (CTR)'!$K$3*B17+'Beta (CTR)'!$K$4*C17+'Beta (CTR)'!$K$13*L17+'Beta (CTR)'!$K$15*N17+'Beta (CTR)'!$K$18*Q17+'Beta (CTR)'!$K$22*U17+'Beta (CTR)'!$K$23*V17+'Beta (CTR)'!$K$25*X17+'Beta (CTR)'!$K$27*Z17+'Beta (CTR)'!$K$28*AA17+'Beta (CTR)'!$K$29*AB17+'Beta (CTR)'!$K$30*AC17+'Beta (CTR)'!$K$31*AD17+'Beta (CTR)'!$K$32*AE17</f>
        <v>1.2354126854499654</v>
      </c>
      <c r="K43" s="626">
        <f>+'Beta (CTR)'!$L$3*B17+'Beta (CTR)'!$L$6*E17+'Beta (CTR)'!$L$25*X17+'Beta (CTR)'!$L$27*Z17</f>
        <v>1.1757472242541336</v>
      </c>
      <c r="L43" s="626">
        <f>+'Beta (CTR)'!$M$3*B17+'Beta (CTR)'!$M$4*C17+'Beta (CTR)'!$M$5*D17+'Beta (CTR)'!$M$6*E17+'Beta (CTR)'!$M$7*F17+'Beta (CTR)'!$M$8*G17+'Beta (CTR)'!$M$9*H17+'Beta (CTR)'!$M$10*I17+'Beta (CTR)'!$M$13*L17+'Beta (CTR)'!$M$14*M17+'Beta (CTR)'!$M$15*N17+'Beta (CTR)'!$M$16*O17+'Beta (CTR)'!$M$17*P17+'Beta (CTR)'!$M$18*Q17+'Beta (CTR)'!$M$21*T17+'Beta (CTR)'!$M$22*U17+'Beta (CTR)'!$M$23*V17+'Beta (CTR)'!$M$24*W17+'Beta (CTR)'!$M$25*X17+'Beta (CTR)'!$M$26*Y17+'Beta (CTR)'!$M$27*Z17+'Beta (CTR)'!$M$28*AA17+'Beta (CTR)'!$M$29*AB17+'Beta (CTR)'!$M$30*AC17+'Beta (CTR)'!$M$31*AD17+'Beta (CTR)'!$M$32*AE17+'Beta (CTR)'!$M$33*AF17+'Beta (CTR)'!$M$34*AG17+'Beta (CTR)'!$M$35*AH17+'Beta (CTR)'!$M$36*AI17+'Beta (CTR)'!$M$38*AK17+'Beta (CTR)'!$M$40*AM17</f>
        <v>0.99884066369942992</v>
      </c>
      <c r="M43" s="626">
        <f>+'Beta (CTR)'!$N$3*B17+'Beta (CTR)'!$N$4*C17+'Beta (CTR)'!$N$6*E17+'Beta (CTR)'!$N$8*G17+'Beta (CTR)'!$N$9*H17+'Beta (CTR)'!$N$10*I17+'Beta (CTR)'!$N$13*L17+'Beta (CTR)'!$N$14*M17+'Beta (CTR)'!$N$15*N17+'Beta (CTR)'!$N$16*O17+'Beta (CTR)'!$N$18*Q17+'Beta (CTR)'!$N$19*R17+'Beta (CTR)'!$N$21*T17+'Beta (CTR)'!$N$22*U17+'Beta (CTR)'!$N$23*V17+'Beta (CTR)'!$N$24*W17+'Beta (CTR)'!$N$25*X17+'Beta (CTR)'!$N$26*Y17+'Beta (CTR)'!$N$27*Z17+'Beta (CTR)'!$N$28*AA17+'Beta (CTR)'!$N$29*AB17+'Beta (CTR)'!$N$30*AC17+'Beta (CTR)'!$N$31*AD17+'Beta (CTR)'!$N$32*AE17+'Beta (CTR)'!$N$34*AG17+'Beta (CTR)'!$N$36*AI17+'Beta (CTR)'!$N$42*AO17</f>
        <v>1.5753528282104747</v>
      </c>
      <c r="N43" s="626">
        <f>+'Beta (CTR)'!$O$3*B17+'Beta (CTR)'!$O$5*D17+'Beta (CTR)'!$O$7*F17+'Beta (CTR)'!$O$8*G17+'Beta (CTR)'!$O$21*T17+'Beta (CTR)'!$O$22*U17+'Beta (CTR)'!$O$23*V17+'Beta (CTR)'!$O$24*W17+'Beta (CTR)'!$O$25*X17+'Beta (CTR)'!$O$27*Z17+'Beta (CTR)'!$O$28*AA17+'Beta (CTR)'!$O$29*AB17+'Beta (CTR)'!$O$31*AD17+'Beta (CTR)'!$O$32*AE17+'Beta (CTR)'!$O$33*AF17+'Beta (CTR)'!$O$34*AG17</f>
        <v>1.005567358874226</v>
      </c>
      <c r="O43" s="626">
        <f>+'Beta (CTR)'!$P$3*B17+'Beta (CTR)'!$P$5*D17+'Beta (CTR)'!$P$7*F17+'Beta (CTR)'!$P$8*G17+'Beta (CTR)'!$P$21*T17+'Beta (CTR)'!$P$22*U17+'Beta (CTR)'!$P$23*V17+'Beta (CTR)'!$P$24*W17+'Beta (CTR)'!$P$25*X17+'Beta (CTR)'!$P$27*Z17+'Beta (CTR)'!$P$28*AA17+'Beta (CTR)'!$P$29*AB17+'Beta (CTR)'!$P$31*AD17+'Beta (CTR)'!$P$32*AE17+'Beta (CTR)'!$P$33*AF17+'Beta (CTR)'!$P$34*AG17+'Beta (CTR)'!$P$39*AL17</f>
        <v>1.066005501137004</v>
      </c>
      <c r="P43" s="626">
        <f>+'Beta (CTR)'!$Q$3*B17+'Beta (CTR)'!$Q$4*C17+'Beta (CTR)'!$Q$5*D17+'Beta (CTR)'!$Q$6*E17+'Beta (CTR)'!$Q$9*H17+'Beta (CTR)'!$Q$10*I17+'Beta (CTR)'!$Q$11*J17+'Beta (CTR)'!$Q$12*K17+'Beta (CTR)'!$Q$13*L17+'Beta (CTR)'!$Q$14*M17+'Beta (CTR)'!$Q$15*N17+'Beta (CTR)'!$Q$16*O17+'Beta (CTR)'!$Q$17*P17+'Beta (CTR)'!$Q$19*R17+'Beta (CTR)'!$Q$20*S17+'Beta (CTR)'!$Q$21*T17+'Beta (CTR)'!$Q$22*U17+'Beta (CTR)'!$Q$23*V17+'Beta (CTR)'!$Q$24*W17+'Beta (CTR)'!$Q$25*X17+'Beta (CTR)'!$Q$26*Y17+'Beta (CTR)'!$Q$27*Z17+'Beta (CTR)'!$Q$28*AA17+'Beta (CTR)'!$Q$29*AB17+'Beta (CTR)'!$Q$30*AC17+'Beta (CTR)'!$Q$31*AD17+'Beta (CTR)'!$Q$32*AE17+'Beta (CTR)'!$Q$33*AF17+'Beta (CTR)'!$Q$37*AJ17+'Beta (CTR)'!$Q$41*AN17</f>
        <v>0.98131414052935229</v>
      </c>
      <c r="Q43" s="626">
        <f>+'Beta (CTR)'!$R$3*B17+'Beta (CTR)'!$R$4*C17+'Beta (CTR)'!$R$5*D17+'Beta (CTR)'!$R$6*E17+'Beta (CTR)'!$R$9*H17+'Beta (CTR)'!$R$10*I17+'Beta (CTR)'!$R$11*J17+'Beta (CTR)'!$R$12*K17+'Beta (CTR)'!$R$13*L17+'Beta (CTR)'!$R$14*M17+'Beta (CTR)'!$R$15*N17+'Beta (CTR)'!$R$16*O17+'Beta (CTR)'!$R$17*P17+'Beta (CTR)'!$R$19*R17+'Beta (CTR)'!$R$20*S17+'Beta (CTR)'!$R$21*T17+'Beta (CTR)'!$R$22*U17+'Beta (CTR)'!$R$23*V17+'Beta (CTR)'!$R$24*W17+'Beta (CTR)'!$R$25*X17+'Beta (CTR)'!$R$26*Y17+'Beta (CTR)'!$R$27*Z17+'Beta (CTR)'!$R$28*AA17+'Beta (CTR)'!$R$29*AB17+'Beta (CTR)'!$R$30*AC17+'Beta (CTR)'!$R$31*AD17+'Beta (CTR)'!$R$32*AE17+'Beta (CTR)'!$R$33*AF17+'Beta (CTR)'!$R$37*AJ17+'Beta (CTR)'!$R$41*AN17</f>
        <v>0.98131414052935229</v>
      </c>
    </row>
    <row r="44" spans="1:17" x14ac:dyDescent="0.25">
      <c r="A44" s="625">
        <v>17</v>
      </c>
      <c r="B44" s="626">
        <f>+'Beta (CTR)'!$C$3*B18+'Beta (CTR)'!$C$8*G18+'Beta (CTR)'!$C$21*T18+'Beta (CTR)'!$C$22*U18+'Beta (CTR)'!$C$23*V18+'Beta (CTR)'!$C$24*W18+'Beta (CTR)'!$C$27*Z18+'Beta (CTR)'!$C$28*AA18+'Beta (CTR)'!$C$31*AD18</f>
        <v>0.76709389721507903</v>
      </c>
      <c r="C44" s="626">
        <f>+'Beta (CTR)'!$D$3*B18+'Beta (CTR)'!$D$4*C18+'Beta (CTR)'!$D$5*D18+'Beta (CTR)'!$D$10*I18+'Beta (CTR)'!$D$17*P18+'Beta (CTR)'!$D$21*T18+'Beta (CTR)'!$D$22*U18+'Beta (CTR)'!$D$23*V18+'Beta (CTR)'!$D$24*W18+'Beta (CTR)'!$D$25*X18+'Beta (CTR)'!$D$26*Y18+'Beta (CTR)'!$D$27*Z18+'Beta (CTR)'!$D$29*AB18+'Beta (CTR)'!$D$32*AE18+'Beta (CTR)'!$D$33*AF18</f>
        <v>0.81679436949234141</v>
      </c>
      <c r="D44" s="626">
        <f>+'Beta (CTR)'!$E$3*B18+'Beta (CTR)'!$E$4*C18+'Beta (CTR)'!$E$15*N18+'Beta (CTR)'!$E$16*O18+'Beta (CTR)'!$E$21*T18+'Beta (CTR)'!$E$24*W18+'Beta (CTR)'!$E$25*X18+'Beta (CTR)'!$E$27*Z18+'Beta (CTR)'!$E$28*AA18+'Beta (CTR)'!$E$29*AB18</f>
        <v>1.1878049832106197</v>
      </c>
      <c r="E44" s="626">
        <f>+'Beta (CTR)'!$F$4*C18+'Beta (CTR)'!$F$10*I18+'Beta (CTR)'!$F$16*O18+'Beta (CTR)'!$F$21*T18+'Beta (CTR)'!$F$24*W18+'Beta (CTR)'!$F$25*X18+'Beta (CTR)'!$F$26*Y18+'Beta (CTR)'!$F$27*Z18+'Beta (CTR)'!$F$29*AB18+'Beta (CTR)'!$F$30*AC18</f>
        <v>1.1531785964877372</v>
      </c>
      <c r="F44" s="626">
        <f>+'Beta (CTR)'!$G$3*B18+'Beta (CTR)'!$G$11*J18+'Beta (CTR)'!$G$12*K18+'Beta (CTR)'!$G$21*T18+'Beta (CTR)'!$G$23*V18+'Beta (CTR)'!$G$24*W18+'Beta (CTR)'!$G$28*AA18</f>
        <v>0.90966181883707276</v>
      </c>
      <c r="G44" s="626">
        <f>+'Beta (CTR)'!$H$3*B18+'Beta (CTR)'!$H$5*D18+'Beta (CTR)'!$H$7*F18+'Beta (CTR)'!$H$21*T18+'Beta (CTR)'!$H$23*V18+'Beta (CTR)'!$H$24*W18+'Beta (CTR)'!$H$25*X18+'Beta (CTR)'!$H$27*Z18+'Beta (CTR)'!$H$29*AB18+'Beta (CTR)'!$H$32*AE18+'Beta (CTR)'!$H$33*AF18</f>
        <v>0.8414319526639138</v>
      </c>
      <c r="H44" s="626">
        <f>+'Beta (CTR)'!$I$4*C18+'Beta (CTR)'!$I$6*E18+'Beta (CTR)'!$I$9*H18+'Beta (CTR)'!$I$13*L18+'Beta (CTR)'!$I$14*M18+'Beta (CTR)'!$I$19*R18+'Beta (CTR)'!$I$22*U18+'Beta (CTR)'!$I$25*X18+'Beta (CTR)'!$I$30*AC18</f>
        <v>1.8383917942677894</v>
      </c>
      <c r="I44" s="626">
        <f>+'Beta (CTR)'!$J$16*O18+'Beta (CTR)'!$J$20*S18+'Beta (CTR)'!$J$21*T18+'Beta (CTR)'!$J$23*V18+'Beta (CTR)'!$J$24*W18+'Beta (CTR)'!$J$26*Y18+'Beta (CTR)'!$J$27*Z18+'Beta (CTR)'!$J$30*AC18+'Beta (CTR)'!$J$31*AD18+'Beta (CTR)'!$J$32*AE18</f>
        <v>0.81126094945841809</v>
      </c>
      <c r="J44" s="626">
        <f>+'Beta (CTR)'!$K$3*B18+'Beta (CTR)'!$K$4*C18+'Beta (CTR)'!$K$13*L18+'Beta (CTR)'!$K$15*N18+'Beta (CTR)'!$K$18*Q18+'Beta (CTR)'!$K$22*U18+'Beta (CTR)'!$K$23*V18+'Beta (CTR)'!$K$25*X18+'Beta (CTR)'!$K$27*Z18+'Beta (CTR)'!$K$28*AA18+'Beta (CTR)'!$K$29*AB18+'Beta (CTR)'!$K$30*AC18+'Beta (CTR)'!$K$31*AD18+'Beta (CTR)'!$K$32*AE18</f>
        <v>1.2778469154232384</v>
      </c>
      <c r="K44" s="626">
        <f>+'Beta (CTR)'!$L$3*B18+'Beta (CTR)'!$L$6*E18+'Beta (CTR)'!$L$25*X18+'Beta (CTR)'!$L$27*Z18</f>
        <v>0.67050765472873897</v>
      </c>
      <c r="L44" s="626">
        <f>+'Beta (CTR)'!$M$3*B18+'Beta (CTR)'!$M$4*C18+'Beta (CTR)'!$M$5*D18+'Beta (CTR)'!$M$6*E18+'Beta (CTR)'!$M$7*F18+'Beta (CTR)'!$M$8*G18+'Beta (CTR)'!$M$9*H18+'Beta (CTR)'!$M$10*I18+'Beta (CTR)'!$M$13*L18+'Beta (CTR)'!$M$14*M18+'Beta (CTR)'!$M$15*N18+'Beta (CTR)'!$M$16*O18+'Beta (CTR)'!$M$17*P18+'Beta (CTR)'!$M$18*Q18+'Beta (CTR)'!$M$21*T18+'Beta (CTR)'!$M$22*U18+'Beta (CTR)'!$M$23*V18+'Beta (CTR)'!$M$24*W18+'Beta (CTR)'!$M$25*X18+'Beta (CTR)'!$M$26*Y18+'Beta (CTR)'!$M$27*Z18+'Beta (CTR)'!$M$28*AA18+'Beta (CTR)'!$M$29*AB18+'Beta (CTR)'!$M$30*AC18+'Beta (CTR)'!$M$31*AD18+'Beta (CTR)'!$M$32*AE18+'Beta (CTR)'!$M$33*AF18+'Beta (CTR)'!$M$34*AG18+'Beta (CTR)'!$M$35*AH18+'Beta (CTR)'!$M$36*AI18+'Beta (CTR)'!$M$38*AK18+'Beta (CTR)'!$M$40*AM18</f>
        <v>1.0122781176054785</v>
      </c>
      <c r="M44" s="626">
        <f>+'Beta (CTR)'!$N$3*B18+'Beta (CTR)'!$N$4*C18+'Beta (CTR)'!$N$6*E18+'Beta (CTR)'!$N$8*G18+'Beta (CTR)'!$N$9*H18+'Beta (CTR)'!$N$10*I18+'Beta (CTR)'!$N$13*L18+'Beta (CTR)'!$N$14*M18+'Beta (CTR)'!$N$15*N18+'Beta (CTR)'!$N$16*O18+'Beta (CTR)'!$N$18*Q18+'Beta (CTR)'!$N$19*R18+'Beta (CTR)'!$N$21*T18+'Beta (CTR)'!$N$22*U18+'Beta (CTR)'!$N$23*V18+'Beta (CTR)'!$N$24*W18+'Beta (CTR)'!$N$25*X18+'Beta (CTR)'!$N$26*Y18+'Beta (CTR)'!$N$27*Z18+'Beta (CTR)'!$N$28*AA18+'Beta (CTR)'!$N$29*AB18+'Beta (CTR)'!$N$30*AC18+'Beta (CTR)'!$N$31*AD18+'Beta (CTR)'!$N$32*AE18+'Beta (CTR)'!$N$34*AG18+'Beta (CTR)'!$N$36*AI18+'Beta (CTR)'!$N$42*AO18</f>
        <v>1.4613433913307938</v>
      </c>
      <c r="N44" s="626">
        <f>+'Beta (CTR)'!$O$3*B18+'Beta (CTR)'!$O$5*D18+'Beta (CTR)'!$O$7*F18+'Beta (CTR)'!$O$8*G18+'Beta (CTR)'!$O$21*T18+'Beta (CTR)'!$O$22*U18+'Beta (CTR)'!$O$23*V18+'Beta (CTR)'!$O$24*W18+'Beta (CTR)'!$O$25*X18+'Beta (CTR)'!$O$27*Z18+'Beta (CTR)'!$O$28*AA18+'Beta (CTR)'!$O$29*AB18+'Beta (CTR)'!$O$31*AD18+'Beta (CTR)'!$O$32*AE18+'Beta (CTR)'!$O$33*AF18+'Beta (CTR)'!$O$34*AG18</f>
        <v>0.99635560667885958</v>
      </c>
      <c r="O44" s="626">
        <f>+'Beta (CTR)'!$P$3*B18+'Beta (CTR)'!$P$5*D18+'Beta (CTR)'!$P$7*F18+'Beta (CTR)'!$P$8*G18+'Beta (CTR)'!$P$21*T18+'Beta (CTR)'!$P$22*U18+'Beta (CTR)'!$P$23*V18+'Beta (CTR)'!$P$24*W18+'Beta (CTR)'!$P$25*X18+'Beta (CTR)'!$P$27*Z18+'Beta (CTR)'!$P$28*AA18+'Beta (CTR)'!$P$29*AB18+'Beta (CTR)'!$P$31*AD18+'Beta (CTR)'!$P$32*AE18+'Beta (CTR)'!$P$33*AF18+'Beta (CTR)'!$P$34*AG18+'Beta (CTR)'!$P$39*AL18</f>
        <v>1.0587113493990064</v>
      </c>
      <c r="P44" s="626">
        <f>+'Beta (CTR)'!$Q$3*B18+'Beta (CTR)'!$Q$4*C18+'Beta (CTR)'!$Q$5*D18+'Beta (CTR)'!$Q$6*E18+'Beta (CTR)'!$Q$9*H18+'Beta (CTR)'!$Q$10*I18+'Beta (CTR)'!$Q$11*J18+'Beta (CTR)'!$Q$12*K18+'Beta (CTR)'!$Q$13*L18+'Beta (CTR)'!$Q$14*M18+'Beta (CTR)'!$Q$15*N18+'Beta (CTR)'!$Q$16*O18+'Beta (CTR)'!$Q$17*P18+'Beta (CTR)'!$Q$19*R18+'Beta (CTR)'!$Q$20*S18+'Beta (CTR)'!$Q$21*T18+'Beta (CTR)'!$Q$22*U18+'Beta (CTR)'!$Q$23*V18+'Beta (CTR)'!$Q$24*W18+'Beta (CTR)'!$Q$25*X18+'Beta (CTR)'!$Q$26*Y18+'Beta (CTR)'!$Q$27*Z18+'Beta (CTR)'!$Q$28*AA18+'Beta (CTR)'!$Q$29*AB18+'Beta (CTR)'!$Q$30*AC18+'Beta (CTR)'!$Q$31*AD18+'Beta (CTR)'!$Q$32*AE18+'Beta (CTR)'!$Q$33*AF18+'Beta (CTR)'!$Q$37*AJ18+'Beta (CTR)'!$Q$41*AN18</f>
        <v>0.949332244830564</v>
      </c>
      <c r="Q44" s="626">
        <f>+'Beta (CTR)'!$R$3*B18+'Beta (CTR)'!$R$4*C18+'Beta (CTR)'!$R$5*D18+'Beta (CTR)'!$R$6*E18+'Beta (CTR)'!$R$9*H18+'Beta (CTR)'!$R$10*I18+'Beta (CTR)'!$R$11*J18+'Beta (CTR)'!$R$12*K18+'Beta (CTR)'!$R$13*L18+'Beta (CTR)'!$R$14*M18+'Beta (CTR)'!$R$15*N18+'Beta (CTR)'!$R$16*O18+'Beta (CTR)'!$R$17*P18+'Beta (CTR)'!$R$19*R18+'Beta (CTR)'!$R$20*S18+'Beta (CTR)'!$R$21*T18+'Beta (CTR)'!$R$22*U18+'Beta (CTR)'!$R$23*V18+'Beta (CTR)'!$R$24*W18+'Beta (CTR)'!$R$25*X18+'Beta (CTR)'!$R$26*Y18+'Beta (CTR)'!$R$27*Z18+'Beta (CTR)'!$R$28*AA18+'Beta (CTR)'!$R$29*AB18+'Beta (CTR)'!$R$30*AC18+'Beta (CTR)'!$R$31*AD18+'Beta (CTR)'!$R$32*AE18+'Beta (CTR)'!$R$33*AF18+'Beta (CTR)'!$R$37*AJ18+'Beta (CTR)'!$R$41*AN18</f>
        <v>0.949332244830564</v>
      </c>
    </row>
    <row r="45" spans="1:17" x14ac:dyDescent="0.25">
      <c r="A45" s="625">
        <v>18</v>
      </c>
      <c r="B45" s="626">
        <f>+'Beta (CTR)'!$C$3*B19+'Beta (CTR)'!$C$8*G19+'Beta (CTR)'!$C$21*T19+'Beta (CTR)'!$C$22*U19+'Beta (CTR)'!$C$23*V19+'Beta (CTR)'!$C$24*W19+'Beta (CTR)'!$C$27*Z19+'Beta (CTR)'!$C$28*AA19+'Beta (CTR)'!$C$31*AD19</f>
        <v>1.0385762158159992</v>
      </c>
      <c r="C45" s="626">
        <f>+'Beta (CTR)'!$D$3*B19+'Beta (CTR)'!$D$4*C19+'Beta (CTR)'!$D$5*D19+'Beta (CTR)'!$D$10*I19+'Beta (CTR)'!$D$17*P19+'Beta (CTR)'!$D$21*T19+'Beta (CTR)'!$D$22*U19+'Beta (CTR)'!$D$23*V19+'Beta (CTR)'!$D$24*W19+'Beta (CTR)'!$D$25*X19+'Beta (CTR)'!$D$26*Y19+'Beta (CTR)'!$D$27*Z19+'Beta (CTR)'!$D$29*AB19+'Beta (CTR)'!$D$32*AE19+'Beta (CTR)'!$D$33*AF19</f>
        <v>1.1055975286900996</v>
      </c>
      <c r="D45" s="626">
        <f>+'Beta (CTR)'!$E$3*B19+'Beta (CTR)'!$E$4*C19+'Beta (CTR)'!$E$15*N19+'Beta (CTR)'!$E$16*O19+'Beta (CTR)'!$E$21*T19+'Beta (CTR)'!$E$24*W19+'Beta (CTR)'!$E$25*X19+'Beta (CTR)'!$E$27*Z19+'Beta (CTR)'!$E$28*AA19+'Beta (CTR)'!$E$29*AB19</f>
        <v>1.1778488092476467</v>
      </c>
      <c r="E45" s="626">
        <f>+'Beta (CTR)'!$F$4*C19+'Beta (CTR)'!$F$10*I19+'Beta (CTR)'!$F$16*O19+'Beta (CTR)'!$F$21*T19+'Beta (CTR)'!$F$24*W19+'Beta (CTR)'!$F$25*X19+'Beta (CTR)'!$F$26*Y19+'Beta (CTR)'!$F$27*Z19+'Beta (CTR)'!$F$29*AB19+'Beta (CTR)'!$F$30*AC19</f>
        <v>1.1857015629284844</v>
      </c>
      <c r="F45" s="626">
        <f>+'Beta (CTR)'!$G$3*B19+'Beta (CTR)'!$G$11*J19+'Beta (CTR)'!$G$12*K19+'Beta (CTR)'!$G$21*T19+'Beta (CTR)'!$G$23*V19+'Beta (CTR)'!$G$24*W19+'Beta (CTR)'!$G$28*AA19</f>
        <v>1.2318313219254502</v>
      </c>
      <c r="G45" s="626">
        <f>+'Beta (CTR)'!$H$3*B19+'Beta (CTR)'!$H$5*D19+'Beta (CTR)'!$H$7*F19+'Beta (CTR)'!$H$21*T19+'Beta (CTR)'!$H$23*V19+'Beta (CTR)'!$H$24*W19+'Beta (CTR)'!$H$25*X19+'Beta (CTR)'!$H$27*Z19+'Beta (CTR)'!$H$29*AB19+'Beta (CTR)'!$H$32*AE19+'Beta (CTR)'!$H$33*AF19</f>
        <v>1.0789222701292063</v>
      </c>
      <c r="H45" s="626">
        <f>+'Beta (CTR)'!$I$4*C19+'Beta (CTR)'!$I$6*E19+'Beta (CTR)'!$I$9*H19+'Beta (CTR)'!$I$13*L19+'Beta (CTR)'!$I$14*M19+'Beta (CTR)'!$I$19*R19+'Beta (CTR)'!$I$22*U19+'Beta (CTR)'!$I$25*X19+'Beta (CTR)'!$I$30*AC19</f>
        <v>1.5862005962338843</v>
      </c>
      <c r="I45" s="626">
        <f>+'Beta (CTR)'!$J$16*O19+'Beta (CTR)'!$J$20*S19+'Beta (CTR)'!$J$21*T19+'Beta (CTR)'!$J$23*V19+'Beta (CTR)'!$J$24*W19+'Beta (CTR)'!$J$26*Y19+'Beta (CTR)'!$J$27*Z19+'Beta (CTR)'!$J$30*AC19+'Beta (CTR)'!$J$31*AD19+'Beta (CTR)'!$J$32*AE19</f>
        <v>0.95187893424953529</v>
      </c>
      <c r="J45" s="626">
        <f>+'Beta (CTR)'!$K$3*B19+'Beta (CTR)'!$K$4*C19+'Beta (CTR)'!$K$13*L19+'Beta (CTR)'!$K$15*N19+'Beta (CTR)'!$K$18*Q19+'Beta (CTR)'!$K$22*U19+'Beta (CTR)'!$K$23*V19+'Beta (CTR)'!$K$25*X19+'Beta (CTR)'!$K$27*Z19+'Beta (CTR)'!$K$28*AA19+'Beta (CTR)'!$K$29*AB19+'Beta (CTR)'!$K$30*AC19+'Beta (CTR)'!$K$31*AD19+'Beta (CTR)'!$K$32*AE19</f>
        <v>1.1915488888409302</v>
      </c>
      <c r="K45" s="626">
        <f>+'Beta (CTR)'!$L$3*B19+'Beta (CTR)'!$L$6*E19+'Beta (CTR)'!$L$25*X19+'Beta (CTR)'!$L$27*Z19</f>
        <v>0.43067086121698384</v>
      </c>
      <c r="L45" s="626">
        <f>+'Beta (CTR)'!$M$3*B19+'Beta (CTR)'!$M$4*C19+'Beta (CTR)'!$M$5*D19+'Beta (CTR)'!$M$6*E19+'Beta (CTR)'!$M$7*F19+'Beta (CTR)'!$M$8*G19+'Beta (CTR)'!$M$9*H19+'Beta (CTR)'!$M$10*I19+'Beta (CTR)'!$M$13*L19+'Beta (CTR)'!$M$14*M19+'Beta (CTR)'!$M$15*N19+'Beta (CTR)'!$M$16*O19+'Beta (CTR)'!$M$17*P19+'Beta (CTR)'!$M$18*Q19+'Beta (CTR)'!$M$21*T19+'Beta (CTR)'!$M$22*U19+'Beta (CTR)'!$M$23*V19+'Beta (CTR)'!$M$24*W19+'Beta (CTR)'!$M$25*X19+'Beta (CTR)'!$M$26*Y19+'Beta (CTR)'!$M$27*Z19+'Beta (CTR)'!$M$28*AA19+'Beta (CTR)'!$M$29*AB19+'Beta (CTR)'!$M$30*AC19+'Beta (CTR)'!$M$31*AD19+'Beta (CTR)'!$M$32*AE19+'Beta (CTR)'!$M$33*AF19+'Beta (CTR)'!$M$34*AG19+'Beta (CTR)'!$M$35*AH19+'Beta (CTR)'!$M$36*AI19+'Beta (CTR)'!$M$38*AK19+'Beta (CTR)'!$M$40*AM19</f>
        <v>1.0309293984878523</v>
      </c>
      <c r="M45" s="626">
        <f>+'Beta (CTR)'!$N$3*B19+'Beta (CTR)'!$N$4*C19+'Beta (CTR)'!$N$6*E19+'Beta (CTR)'!$N$8*G19+'Beta (CTR)'!$N$9*H19+'Beta (CTR)'!$N$10*I19+'Beta (CTR)'!$N$13*L19+'Beta (CTR)'!$N$14*M19+'Beta (CTR)'!$N$15*N19+'Beta (CTR)'!$N$16*O19+'Beta (CTR)'!$N$18*Q19+'Beta (CTR)'!$N$19*R19+'Beta (CTR)'!$N$21*T19+'Beta (CTR)'!$N$22*U19+'Beta (CTR)'!$N$23*V19+'Beta (CTR)'!$N$24*W19+'Beta (CTR)'!$N$25*X19+'Beta (CTR)'!$N$26*Y19+'Beta (CTR)'!$N$27*Z19+'Beta (CTR)'!$N$28*AA19+'Beta (CTR)'!$N$29*AB19+'Beta (CTR)'!$N$30*AC19+'Beta (CTR)'!$N$31*AD19+'Beta (CTR)'!$N$32*AE19+'Beta (CTR)'!$N$34*AG19+'Beta (CTR)'!$N$36*AI19+'Beta (CTR)'!$N$42*AO19</f>
        <v>1.2998178984356106</v>
      </c>
      <c r="N45" s="626">
        <f>+'Beta (CTR)'!$O$3*B19+'Beta (CTR)'!$O$5*D19+'Beta (CTR)'!$O$7*F19+'Beta (CTR)'!$O$8*G19+'Beta (CTR)'!$O$21*T19+'Beta (CTR)'!$O$22*U19+'Beta (CTR)'!$O$23*V19+'Beta (CTR)'!$O$24*W19+'Beta (CTR)'!$O$25*X19+'Beta (CTR)'!$O$27*Z19+'Beta (CTR)'!$O$28*AA19+'Beta (CTR)'!$O$29*AB19+'Beta (CTR)'!$O$31*AD19+'Beta (CTR)'!$O$32*AE19+'Beta (CTR)'!$O$33*AF19+'Beta (CTR)'!$O$34*AG19</f>
        <v>1.0856444857620666</v>
      </c>
      <c r="O45" s="626">
        <f>+'Beta (CTR)'!$P$3*B19+'Beta (CTR)'!$P$5*D19+'Beta (CTR)'!$P$7*F19+'Beta (CTR)'!$P$8*G19+'Beta (CTR)'!$P$21*T19+'Beta (CTR)'!$P$22*U19+'Beta (CTR)'!$P$23*V19+'Beta (CTR)'!$P$24*W19+'Beta (CTR)'!$P$25*X19+'Beta (CTR)'!$P$27*Z19+'Beta (CTR)'!$P$28*AA19+'Beta (CTR)'!$P$29*AB19+'Beta (CTR)'!$P$31*AD19+'Beta (CTR)'!$P$32*AE19+'Beta (CTR)'!$P$33*AF19+'Beta (CTR)'!$P$34*AG19+'Beta (CTR)'!$P$39*AL19</f>
        <v>1.1097212570332793</v>
      </c>
      <c r="P45" s="626">
        <f>+'Beta (CTR)'!$Q$3*B19+'Beta (CTR)'!$Q$4*C19+'Beta (CTR)'!$Q$5*D19+'Beta (CTR)'!$Q$6*E19+'Beta (CTR)'!$Q$9*H19+'Beta (CTR)'!$Q$10*I19+'Beta (CTR)'!$Q$11*J19+'Beta (CTR)'!$Q$12*K19+'Beta (CTR)'!$Q$13*L19+'Beta (CTR)'!$Q$14*M19+'Beta (CTR)'!$Q$15*N19+'Beta (CTR)'!$Q$16*O19+'Beta (CTR)'!$Q$17*P19+'Beta (CTR)'!$Q$19*R19+'Beta (CTR)'!$Q$20*S19+'Beta (CTR)'!$Q$21*T19+'Beta (CTR)'!$Q$22*U19+'Beta (CTR)'!$Q$23*V19+'Beta (CTR)'!$Q$24*W19+'Beta (CTR)'!$Q$25*X19+'Beta (CTR)'!$Q$26*Y19+'Beta (CTR)'!$Q$27*Z19+'Beta (CTR)'!$Q$28*AA19+'Beta (CTR)'!$Q$29*AB19+'Beta (CTR)'!$Q$30*AC19+'Beta (CTR)'!$Q$31*AD19+'Beta (CTR)'!$Q$32*AE19+'Beta (CTR)'!$Q$33*AF19+'Beta (CTR)'!$Q$37*AJ19+'Beta (CTR)'!$Q$41*AN19</f>
        <v>1.1423875208069207</v>
      </c>
      <c r="Q45" s="626">
        <f>+'Beta (CTR)'!$R$3*B19+'Beta (CTR)'!$R$4*C19+'Beta (CTR)'!$R$5*D19+'Beta (CTR)'!$R$6*E19+'Beta (CTR)'!$R$9*H19+'Beta (CTR)'!$R$10*I19+'Beta (CTR)'!$R$11*J19+'Beta (CTR)'!$R$12*K19+'Beta (CTR)'!$R$13*L19+'Beta (CTR)'!$R$14*M19+'Beta (CTR)'!$R$15*N19+'Beta (CTR)'!$R$16*O19+'Beta (CTR)'!$R$17*P19+'Beta (CTR)'!$R$19*R19+'Beta (CTR)'!$R$20*S19+'Beta (CTR)'!$R$21*T19+'Beta (CTR)'!$R$22*U19+'Beta (CTR)'!$R$23*V19+'Beta (CTR)'!$R$24*W19+'Beta (CTR)'!$R$25*X19+'Beta (CTR)'!$R$26*Y19+'Beta (CTR)'!$R$27*Z19+'Beta (CTR)'!$R$28*AA19+'Beta (CTR)'!$R$29*AB19+'Beta (CTR)'!$R$30*AC19+'Beta (CTR)'!$R$31*AD19+'Beta (CTR)'!$R$32*AE19+'Beta (CTR)'!$R$33*AF19+'Beta (CTR)'!$R$37*AJ19+'Beta (CTR)'!$R$41*AN19</f>
        <v>1.1423875208069207</v>
      </c>
    </row>
    <row r="46" spans="1:17" x14ac:dyDescent="0.25">
      <c r="A46" s="625">
        <v>19</v>
      </c>
      <c r="B46" s="626">
        <f>+'Beta (CTR)'!$C$3*B20+'Beta (CTR)'!$C$8*G20+'Beta (CTR)'!$C$21*T20+'Beta (CTR)'!$C$22*U20+'Beta (CTR)'!$C$23*V20+'Beta (CTR)'!$C$24*W20+'Beta (CTR)'!$C$27*Z20+'Beta (CTR)'!$C$28*AA20+'Beta (CTR)'!$C$31*AD20</f>
        <v>1.5783165286529861</v>
      </c>
      <c r="C46" s="626">
        <f>+'Beta (CTR)'!$D$3*B20+'Beta (CTR)'!$D$4*C20+'Beta (CTR)'!$D$5*D20+'Beta (CTR)'!$D$10*I20+'Beta (CTR)'!$D$17*P20+'Beta (CTR)'!$D$21*T20+'Beta (CTR)'!$D$22*U20+'Beta (CTR)'!$D$23*V20+'Beta (CTR)'!$D$24*W20+'Beta (CTR)'!$D$25*X20+'Beta (CTR)'!$D$26*Y20+'Beta (CTR)'!$D$27*Z20+'Beta (CTR)'!$D$29*AB20+'Beta (CTR)'!$D$32*AE20+'Beta (CTR)'!$D$33*AF20</f>
        <v>1.7451307429057081</v>
      </c>
      <c r="D46" s="626">
        <f>+'Beta (CTR)'!$E$3*B20+'Beta (CTR)'!$E$4*C20+'Beta (CTR)'!$E$15*N20+'Beta (CTR)'!$E$16*O20+'Beta (CTR)'!$E$21*T20+'Beta (CTR)'!$E$24*W20+'Beta (CTR)'!$E$25*X20+'Beta (CTR)'!$E$27*Z20+'Beta (CTR)'!$E$28*AA20+'Beta (CTR)'!$E$29*AB20</f>
        <v>1.5338855707933756</v>
      </c>
      <c r="E46" s="626">
        <f>+'Beta (CTR)'!$F$4*C20+'Beta (CTR)'!$F$10*I20+'Beta (CTR)'!$F$16*O20+'Beta (CTR)'!$F$21*T20+'Beta (CTR)'!$F$24*W20+'Beta (CTR)'!$F$25*X20+'Beta (CTR)'!$F$26*Y20+'Beta (CTR)'!$F$27*Z20+'Beta (CTR)'!$F$29*AB20+'Beta (CTR)'!$F$30*AC20</f>
        <v>1.2851617960790516</v>
      </c>
      <c r="F46" s="626">
        <f>+'Beta (CTR)'!$G$3*B20+'Beta (CTR)'!$G$11*J20+'Beta (CTR)'!$G$12*K20+'Beta (CTR)'!$G$21*T20+'Beta (CTR)'!$G$23*V20+'Beta (CTR)'!$G$24*W20+'Beta (CTR)'!$G$28*AA20</f>
        <v>2.058015423444727</v>
      </c>
      <c r="G46" s="626">
        <f>+'Beta (CTR)'!$H$3*B20+'Beta (CTR)'!$H$5*D20+'Beta (CTR)'!$H$7*F20+'Beta (CTR)'!$H$21*T20+'Beta (CTR)'!$H$23*V20+'Beta (CTR)'!$H$24*W20+'Beta (CTR)'!$H$25*X20+'Beta (CTR)'!$H$27*Z20+'Beta (CTR)'!$H$29*AB20+'Beta (CTR)'!$H$32*AE20+'Beta (CTR)'!$H$33*AF20</f>
        <v>1.6051364642847517</v>
      </c>
      <c r="H46" s="626">
        <f>+'Beta (CTR)'!$I$4*C20+'Beta (CTR)'!$I$6*E20+'Beta (CTR)'!$I$9*H20+'Beta (CTR)'!$I$13*L20+'Beta (CTR)'!$I$14*M20+'Beta (CTR)'!$I$19*R20+'Beta (CTR)'!$I$22*U20+'Beta (CTR)'!$I$25*X20+'Beta (CTR)'!$I$30*AC20</f>
        <v>1.0423127364864773</v>
      </c>
      <c r="I46" s="626">
        <f>+'Beta (CTR)'!$J$16*O20+'Beta (CTR)'!$J$20*S20+'Beta (CTR)'!$J$21*T20+'Beta (CTR)'!$J$23*V20+'Beta (CTR)'!$J$24*W20+'Beta (CTR)'!$J$26*Y20+'Beta (CTR)'!$J$27*Z20+'Beta (CTR)'!$J$30*AC20+'Beta (CTR)'!$J$31*AD20+'Beta (CTR)'!$J$32*AE20</f>
        <v>1.6277384682893257</v>
      </c>
      <c r="J46" s="626">
        <f>+'Beta (CTR)'!$K$3*B20+'Beta (CTR)'!$K$4*C20+'Beta (CTR)'!$K$13*L20+'Beta (CTR)'!$K$15*N20+'Beta (CTR)'!$K$18*Q20+'Beta (CTR)'!$K$22*U20+'Beta (CTR)'!$K$23*V20+'Beta (CTR)'!$K$25*X20+'Beta (CTR)'!$K$27*Z20+'Beta (CTR)'!$K$28*AA20+'Beta (CTR)'!$K$29*AB20+'Beta (CTR)'!$K$30*AC20+'Beta (CTR)'!$K$31*AD20+'Beta (CTR)'!$K$32*AE20</f>
        <v>1.1827699740888742</v>
      </c>
      <c r="K46" s="626">
        <f>+'Beta (CTR)'!$L$3*B20+'Beta (CTR)'!$L$6*E20+'Beta (CTR)'!$L$25*X20+'Beta (CTR)'!$L$27*Z20</f>
        <v>0.54868148694718499</v>
      </c>
      <c r="L46" s="626">
        <f>+'Beta (CTR)'!$M$3*B20+'Beta (CTR)'!$M$4*C20+'Beta (CTR)'!$M$5*D20+'Beta (CTR)'!$M$6*E20+'Beta (CTR)'!$M$7*F20+'Beta (CTR)'!$M$8*G20+'Beta (CTR)'!$M$9*H20+'Beta (CTR)'!$M$10*I20+'Beta (CTR)'!$M$13*L20+'Beta (CTR)'!$M$14*M20+'Beta (CTR)'!$M$15*N20+'Beta (CTR)'!$M$16*O20+'Beta (CTR)'!$M$17*P20+'Beta (CTR)'!$M$18*Q20+'Beta (CTR)'!$M$21*T20+'Beta (CTR)'!$M$22*U20+'Beta (CTR)'!$M$23*V20+'Beta (CTR)'!$M$24*W20+'Beta (CTR)'!$M$25*X20+'Beta (CTR)'!$M$26*Y20+'Beta (CTR)'!$M$27*Z20+'Beta (CTR)'!$M$28*AA20+'Beta (CTR)'!$M$29*AB20+'Beta (CTR)'!$M$30*AC20+'Beta (CTR)'!$M$31*AD20+'Beta (CTR)'!$M$32*AE20+'Beta (CTR)'!$M$33*AF20+'Beta (CTR)'!$M$34*AG20+'Beta (CTR)'!$M$35*AH20+'Beta (CTR)'!$M$36*AI20+'Beta (CTR)'!$M$38*AK20+'Beta (CTR)'!$M$40*AM20</f>
        <v>1.1937121610467811</v>
      </c>
      <c r="M46" s="626">
        <f>+'Beta (CTR)'!$N$3*B20+'Beta (CTR)'!$N$4*C20+'Beta (CTR)'!$N$6*E20+'Beta (CTR)'!$N$8*G20+'Beta (CTR)'!$N$9*H20+'Beta (CTR)'!$N$10*I20+'Beta (CTR)'!$N$13*L20+'Beta (CTR)'!$N$14*M20+'Beta (CTR)'!$N$15*N20+'Beta (CTR)'!$N$16*O20+'Beta (CTR)'!$N$18*Q20+'Beta (CTR)'!$N$19*R20+'Beta (CTR)'!$N$21*T20+'Beta (CTR)'!$N$22*U20+'Beta (CTR)'!$N$23*V20+'Beta (CTR)'!$N$24*W20+'Beta (CTR)'!$N$25*X20+'Beta (CTR)'!$N$26*Y20+'Beta (CTR)'!$N$27*Z20+'Beta (CTR)'!$N$28*AA20+'Beta (CTR)'!$N$29*AB20+'Beta (CTR)'!$N$30*AC20+'Beta (CTR)'!$N$31*AD20+'Beta (CTR)'!$N$32*AE20+'Beta (CTR)'!$N$34*AG20+'Beta (CTR)'!$N$36*AI20+'Beta (CTR)'!$N$42*AO20</f>
        <v>0.75384170401301109</v>
      </c>
      <c r="N46" s="626">
        <f>+'Beta (CTR)'!$O$3*B20+'Beta (CTR)'!$O$5*D20+'Beta (CTR)'!$O$7*F20+'Beta (CTR)'!$O$8*G20+'Beta (CTR)'!$O$21*T20+'Beta (CTR)'!$O$22*U20+'Beta (CTR)'!$O$23*V20+'Beta (CTR)'!$O$24*W20+'Beta (CTR)'!$O$25*X20+'Beta (CTR)'!$O$27*Z20+'Beta (CTR)'!$O$28*AA20+'Beta (CTR)'!$O$29*AB20+'Beta (CTR)'!$O$31*AD20+'Beta (CTR)'!$O$32*AE20+'Beta (CTR)'!$O$33*AF20+'Beta (CTR)'!$O$34*AG20</f>
        <v>0.91386194727970693</v>
      </c>
      <c r="O46" s="626">
        <f>+'Beta (CTR)'!$P$3*B20+'Beta (CTR)'!$P$5*D20+'Beta (CTR)'!$P$7*F20+'Beta (CTR)'!$P$8*G20+'Beta (CTR)'!$P$21*T20+'Beta (CTR)'!$P$22*U20+'Beta (CTR)'!$P$23*V20+'Beta (CTR)'!$P$24*W20+'Beta (CTR)'!$P$25*X20+'Beta (CTR)'!$P$27*Z20+'Beta (CTR)'!$P$28*AA20+'Beta (CTR)'!$P$29*AB20+'Beta (CTR)'!$P$31*AD20+'Beta (CTR)'!$P$32*AE20+'Beta (CTR)'!$P$33*AF20+'Beta (CTR)'!$P$34*AG20+'Beta (CTR)'!$P$39*AL20</f>
        <v>0.83622336145356713</v>
      </c>
      <c r="P46" s="626">
        <f>+'Beta (CTR)'!$Q$3*B20+'Beta (CTR)'!$Q$4*C20+'Beta (CTR)'!$Q$5*D20+'Beta (CTR)'!$Q$6*E20+'Beta (CTR)'!$Q$9*H20+'Beta (CTR)'!$Q$10*I20+'Beta (CTR)'!$Q$11*J20+'Beta (CTR)'!$Q$12*K20+'Beta (CTR)'!$Q$13*L20+'Beta (CTR)'!$Q$14*M20+'Beta (CTR)'!$Q$15*N20+'Beta (CTR)'!$Q$16*O20+'Beta (CTR)'!$Q$17*P20+'Beta (CTR)'!$Q$19*R20+'Beta (CTR)'!$Q$20*S20+'Beta (CTR)'!$Q$21*T20+'Beta (CTR)'!$Q$22*U20+'Beta (CTR)'!$Q$23*V20+'Beta (CTR)'!$Q$24*W20+'Beta (CTR)'!$Q$25*X20+'Beta (CTR)'!$Q$26*Y20+'Beta (CTR)'!$Q$27*Z20+'Beta (CTR)'!$Q$28*AA20+'Beta (CTR)'!$Q$29*AB20+'Beta (CTR)'!$Q$30*AC20+'Beta (CTR)'!$Q$31*AD20+'Beta (CTR)'!$Q$32*AE20+'Beta (CTR)'!$Q$33*AF20+'Beta (CTR)'!$Q$37*AJ20+'Beta (CTR)'!$Q$41*AN20</f>
        <v>1.6494459029364841</v>
      </c>
      <c r="Q46" s="626">
        <f>+'Beta (CTR)'!$R$3*B20+'Beta (CTR)'!$R$4*C20+'Beta (CTR)'!$R$5*D20+'Beta (CTR)'!$R$6*E20+'Beta (CTR)'!$R$9*H20+'Beta (CTR)'!$R$10*I20+'Beta (CTR)'!$R$11*J20+'Beta (CTR)'!$R$12*K20+'Beta (CTR)'!$R$13*L20+'Beta (CTR)'!$R$14*M20+'Beta (CTR)'!$R$15*N20+'Beta (CTR)'!$R$16*O20+'Beta (CTR)'!$R$17*P20+'Beta (CTR)'!$R$19*R20+'Beta (CTR)'!$R$20*S20+'Beta (CTR)'!$R$21*T20+'Beta (CTR)'!$R$22*U20+'Beta (CTR)'!$R$23*V20+'Beta (CTR)'!$R$24*W20+'Beta (CTR)'!$R$25*X20+'Beta (CTR)'!$R$26*Y20+'Beta (CTR)'!$R$27*Z20+'Beta (CTR)'!$R$28*AA20+'Beta (CTR)'!$R$29*AB20+'Beta (CTR)'!$R$30*AC20+'Beta (CTR)'!$R$31*AD20+'Beta (CTR)'!$R$32*AE20+'Beta (CTR)'!$R$33*AF20+'Beta (CTR)'!$R$37*AJ20+'Beta (CTR)'!$R$41*AN20</f>
        <v>1.6494459029364841</v>
      </c>
    </row>
    <row r="47" spans="1:17" x14ac:dyDescent="0.25">
      <c r="A47" s="625">
        <v>20</v>
      </c>
      <c r="B47" s="626">
        <f>+'Beta (CTR)'!$C$3*B21+'Beta (CTR)'!$C$8*G21+'Beta (CTR)'!$C$21*T21+'Beta (CTR)'!$C$22*U21+'Beta (CTR)'!$C$23*V21+'Beta (CTR)'!$C$24*W21+'Beta (CTR)'!$C$27*Z21+'Beta (CTR)'!$C$28*AA21+'Beta (CTR)'!$C$31*AD21</f>
        <v>1.832863558236115</v>
      </c>
      <c r="C47" s="626">
        <f>+'Beta (CTR)'!$D$3*B21+'Beta (CTR)'!$D$4*C21+'Beta (CTR)'!$D$5*D21+'Beta (CTR)'!$D$10*I21+'Beta (CTR)'!$D$17*P21+'Beta (CTR)'!$D$21*T21+'Beta (CTR)'!$D$22*U21+'Beta (CTR)'!$D$23*V21+'Beta (CTR)'!$D$24*W21+'Beta (CTR)'!$D$25*X21+'Beta (CTR)'!$D$26*Y21+'Beta (CTR)'!$D$27*Z21+'Beta (CTR)'!$D$29*AB21+'Beta (CTR)'!$D$32*AE21+'Beta (CTR)'!$D$33*AF21</f>
        <v>1.7686680619300619</v>
      </c>
      <c r="D47" s="626">
        <f>+'Beta (CTR)'!$E$3*B21+'Beta (CTR)'!$E$4*C21+'Beta (CTR)'!$E$15*N21+'Beta (CTR)'!$E$16*O21+'Beta (CTR)'!$E$21*T21+'Beta (CTR)'!$E$24*W21+'Beta (CTR)'!$E$25*X21+'Beta (CTR)'!$E$27*Z21+'Beta (CTR)'!$E$28*AA21+'Beta (CTR)'!$E$29*AB21</f>
        <v>1.6973063746045438</v>
      </c>
      <c r="E47" s="626">
        <f>+'Beta (CTR)'!$F$4*C21+'Beta (CTR)'!$F$10*I21+'Beta (CTR)'!$F$16*O21+'Beta (CTR)'!$F$21*T21+'Beta (CTR)'!$F$24*W21+'Beta (CTR)'!$F$25*X21+'Beta (CTR)'!$F$26*Y21+'Beta (CTR)'!$F$27*Z21+'Beta (CTR)'!$F$29*AB21+'Beta (CTR)'!$F$30*AC21</f>
        <v>1.2196413788705989</v>
      </c>
      <c r="F47" s="626">
        <f>+'Beta (CTR)'!$G$3*B21+'Beta (CTR)'!$G$11*J21+'Beta (CTR)'!$G$12*K21+'Beta (CTR)'!$G$21*T21+'Beta (CTR)'!$G$23*V21+'Beta (CTR)'!$G$24*W21+'Beta (CTR)'!$G$28*AA21</f>
        <v>2.2582283254787572</v>
      </c>
      <c r="G47" s="626">
        <f>+'Beta (CTR)'!$H$3*B21+'Beta (CTR)'!$H$5*D21+'Beta (CTR)'!$H$7*F21+'Beta (CTR)'!$H$21*T21+'Beta (CTR)'!$H$23*V21+'Beta (CTR)'!$H$24*W21+'Beta (CTR)'!$H$25*X21+'Beta (CTR)'!$H$27*Z21+'Beta (CTR)'!$H$29*AB21+'Beta (CTR)'!$H$32*AE21+'Beta (CTR)'!$H$33*AF21</f>
        <v>1.5910140929857237</v>
      </c>
      <c r="H47" s="626">
        <f>+'Beta (CTR)'!$I$4*C21+'Beta (CTR)'!$I$6*E21+'Beta (CTR)'!$I$9*H21+'Beta (CTR)'!$I$13*L21+'Beta (CTR)'!$I$14*M21+'Beta (CTR)'!$I$19*R21+'Beta (CTR)'!$I$22*U21+'Beta (CTR)'!$I$25*X21+'Beta (CTR)'!$I$30*AC21</f>
        <v>0.80642561819043812</v>
      </c>
      <c r="I47" s="626">
        <f>+'Beta (CTR)'!$J$16*O21+'Beta (CTR)'!$J$20*S21+'Beta (CTR)'!$J$21*T21+'Beta (CTR)'!$J$23*V21+'Beta (CTR)'!$J$24*W21+'Beta (CTR)'!$J$26*Y21+'Beta (CTR)'!$J$27*Z21+'Beta (CTR)'!$J$30*AC21+'Beta (CTR)'!$J$31*AD21+'Beta (CTR)'!$J$32*AE21</f>
        <v>1.8396489933700375</v>
      </c>
      <c r="J47" s="626">
        <f>+'Beta (CTR)'!$K$3*B21+'Beta (CTR)'!$K$4*C21+'Beta (CTR)'!$K$13*L21+'Beta (CTR)'!$K$15*N21+'Beta (CTR)'!$K$18*Q21+'Beta (CTR)'!$K$22*U21+'Beta (CTR)'!$K$23*V21+'Beta (CTR)'!$K$25*X21+'Beta (CTR)'!$K$27*Z21+'Beta (CTR)'!$K$28*AA21+'Beta (CTR)'!$K$29*AB21+'Beta (CTR)'!$K$30*AC21+'Beta (CTR)'!$K$31*AD21+'Beta (CTR)'!$K$32*AE21</f>
        <v>1.271676609770932</v>
      </c>
      <c r="K47" s="626">
        <f>+'Beta (CTR)'!$L$3*B21+'Beta (CTR)'!$L$6*E21+'Beta (CTR)'!$L$25*X21+'Beta (CTR)'!$L$27*Z21</f>
        <v>0.6028975814622809</v>
      </c>
      <c r="L47" s="626">
        <f>+'Beta (CTR)'!$M$3*B21+'Beta (CTR)'!$M$4*C21+'Beta (CTR)'!$M$5*D21+'Beta (CTR)'!$M$6*E21+'Beta (CTR)'!$M$7*F21+'Beta (CTR)'!$M$8*G21+'Beta (CTR)'!$M$9*H21+'Beta (CTR)'!$M$10*I21+'Beta (CTR)'!$M$13*L21+'Beta (CTR)'!$M$14*M21+'Beta (CTR)'!$M$15*N21+'Beta (CTR)'!$M$16*O21+'Beta (CTR)'!$M$17*P21+'Beta (CTR)'!$M$18*Q21+'Beta (CTR)'!$M$21*T21+'Beta (CTR)'!$M$22*U21+'Beta (CTR)'!$M$23*V21+'Beta (CTR)'!$M$24*W21+'Beta (CTR)'!$M$25*X21+'Beta (CTR)'!$M$26*Y21+'Beta (CTR)'!$M$27*Z21+'Beta (CTR)'!$M$28*AA21+'Beta (CTR)'!$M$29*AB21+'Beta (CTR)'!$M$30*AC21+'Beta (CTR)'!$M$31*AD21+'Beta (CTR)'!$M$32*AE21+'Beta (CTR)'!$M$33*AF21+'Beta (CTR)'!$M$34*AG21+'Beta (CTR)'!$M$35*AH21+'Beta (CTR)'!$M$36*AI21+'Beta (CTR)'!$M$38*AK21+'Beta (CTR)'!$M$40*AM21</f>
        <v>1.2316327317051496</v>
      </c>
      <c r="M47" s="626">
        <f>+'Beta (CTR)'!$N$3*B21+'Beta (CTR)'!$N$4*C21+'Beta (CTR)'!$N$6*E21+'Beta (CTR)'!$N$8*G21+'Beta (CTR)'!$N$9*H21+'Beta (CTR)'!$N$10*I21+'Beta (CTR)'!$N$13*L21+'Beta (CTR)'!$N$14*M21+'Beta (CTR)'!$N$15*N21+'Beta (CTR)'!$N$16*O21+'Beta (CTR)'!$N$18*Q21+'Beta (CTR)'!$N$19*R21+'Beta (CTR)'!$N$21*T21+'Beta (CTR)'!$N$22*U21+'Beta (CTR)'!$N$23*V21+'Beta (CTR)'!$N$24*W21+'Beta (CTR)'!$N$25*X21+'Beta (CTR)'!$N$26*Y21+'Beta (CTR)'!$N$27*Z21+'Beta (CTR)'!$N$28*AA21+'Beta (CTR)'!$N$29*AB21+'Beta (CTR)'!$N$30*AC21+'Beta (CTR)'!$N$31*AD21+'Beta (CTR)'!$N$32*AE21+'Beta (CTR)'!$N$34*AG21+'Beta (CTR)'!$N$36*AI21+'Beta (CTR)'!$N$42*AO21</f>
        <v>0.66612936593401817</v>
      </c>
      <c r="N47" s="626">
        <f>+'Beta (CTR)'!$O$3*B21+'Beta (CTR)'!$O$5*D21+'Beta (CTR)'!$O$7*F21+'Beta (CTR)'!$O$8*G21+'Beta (CTR)'!$O$21*T21+'Beta (CTR)'!$O$22*U21+'Beta (CTR)'!$O$23*V21+'Beta (CTR)'!$O$24*W21+'Beta (CTR)'!$O$25*X21+'Beta (CTR)'!$O$27*Z21+'Beta (CTR)'!$O$28*AA21+'Beta (CTR)'!$O$29*AB21+'Beta (CTR)'!$O$31*AD21+'Beta (CTR)'!$O$32*AE21+'Beta (CTR)'!$O$33*AF21+'Beta (CTR)'!$O$34*AG21</f>
        <v>0.90933512561324747</v>
      </c>
      <c r="O47" s="626">
        <f>+'Beta (CTR)'!$P$3*B21+'Beta (CTR)'!$P$5*D21+'Beta (CTR)'!$P$7*F21+'Beta (CTR)'!$P$8*G21+'Beta (CTR)'!$P$21*T21+'Beta (CTR)'!$P$22*U21+'Beta (CTR)'!$P$23*V21+'Beta (CTR)'!$P$24*W21+'Beta (CTR)'!$P$25*X21+'Beta (CTR)'!$P$27*Z21+'Beta (CTR)'!$P$28*AA21+'Beta (CTR)'!$P$29*AB21+'Beta (CTR)'!$P$31*AD21+'Beta (CTR)'!$P$32*AE21+'Beta (CTR)'!$P$33*AF21+'Beta (CTR)'!$P$34*AG21+'Beta (CTR)'!$P$39*AL21</f>
        <v>0.83728008163729639</v>
      </c>
      <c r="P47" s="626">
        <f>+'Beta (CTR)'!$Q$3*B21+'Beta (CTR)'!$Q$4*C21+'Beta (CTR)'!$Q$5*D21+'Beta (CTR)'!$Q$6*E21+'Beta (CTR)'!$Q$9*H21+'Beta (CTR)'!$Q$10*I21+'Beta (CTR)'!$Q$11*J21+'Beta (CTR)'!$Q$12*K21+'Beta (CTR)'!$Q$13*L21+'Beta (CTR)'!$Q$14*M21+'Beta (CTR)'!$Q$15*N21+'Beta (CTR)'!$Q$16*O21+'Beta (CTR)'!$Q$17*P21+'Beta (CTR)'!$Q$19*R21+'Beta (CTR)'!$Q$20*S21+'Beta (CTR)'!$Q$21*T21+'Beta (CTR)'!$Q$22*U21+'Beta (CTR)'!$Q$23*V21+'Beta (CTR)'!$Q$24*W21+'Beta (CTR)'!$Q$25*X21+'Beta (CTR)'!$Q$26*Y21+'Beta (CTR)'!$Q$27*Z21+'Beta (CTR)'!$Q$28*AA21+'Beta (CTR)'!$Q$29*AB21+'Beta (CTR)'!$Q$30*AC21+'Beta (CTR)'!$Q$31*AD21+'Beta (CTR)'!$Q$32*AE21+'Beta (CTR)'!$Q$33*AF21+'Beta (CTR)'!$Q$37*AJ21+'Beta (CTR)'!$Q$41*AN21</f>
        <v>1.693613845885958</v>
      </c>
      <c r="Q47" s="626">
        <f>+'Beta (CTR)'!$R$3*B21+'Beta (CTR)'!$R$4*C21+'Beta (CTR)'!$R$5*D21+'Beta (CTR)'!$R$6*E21+'Beta (CTR)'!$R$9*H21+'Beta (CTR)'!$R$10*I21+'Beta (CTR)'!$R$11*J21+'Beta (CTR)'!$R$12*K21+'Beta (CTR)'!$R$13*L21+'Beta (CTR)'!$R$14*M21+'Beta (CTR)'!$R$15*N21+'Beta (CTR)'!$R$16*O21+'Beta (CTR)'!$R$17*P21+'Beta (CTR)'!$R$19*R21+'Beta (CTR)'!$R$20*S21+'Beta (CTR)'!$R$21*T21+'Beta (CTR)'!$R$22*U21+'Beta (CTR)'!$R$23*V21+'Beta (CTR)'!$R$24*W21+'Beta (CTR)'!$R$25*X21+'Beta (CTR)'!$R$26*Y21+'Beta (CTR)'!$R$27*Z21+'Beta (CTR)'!$R$28*AA21+'Beta (CTR)'!$R$29*AB21+'Beta (CTR)'!$R$30*AC21+'Beta (CTR)'!$R$31*AD21+'Beta (CTR)'!$R$32*AE21+'Beta (CTR)'!$R$33*AF21+'Beta (CTR)'!$R$37*AJ21+'Beta (CTR)'!$R$41*AN21</f>
        <v>1.693613845885958</v>
      </c>
    </row>
    <row r="48" spans="1:17" x14ac:dyDescent="0.25">
      <c r="A48" s="625">
        <v>21</v>
      </c>
      <c r="B48" s="626">
        <f>+'Beta (CTR)'!$C$3*B22+'Beta (CTR)'!$C$8*G22+'Beta (CTR)'!$C$21*T22+'Beta (CTR)'!$C$22*U22+'Beta (CTR)'!$C$23*V22+'Beta (CTR)'!$C$24*W22+'Beta (CTR)'!$C$27*Z22+'Beta (CTR)'!$C$28*AA22+'Beta (CTR)'!$C$31*AD22</f>
        <v>1.8161647941540777</v>
      </c>
      <c r="C48" s="626">
        <f>+'Beta (CTR)'!$D$3*B22+'Beta (CTR)'!$D$4*C22+'Beta (CTR)'!$D$5*D22+'Beta (CTR)'!$D$10*I22+'Beta (CTR)'!$D$17*P22+'Beta (CTR)'!$D$21*T22+'Beta (CTR)'!$D$22*U22+'Beta (CTR)'!$D$23*V22+'Beta (CTR)'!$D$24*W22+'Beta (CTR)'!$D$25*X22+'Beta (CTR)'!$D$26*Y22+'Beta (CTR)'!$D$27*Z22+'Beta (CTR)'!$D$29*AB22+'Beta (CTR)'!$D$32*AE22+'Beta (CTR)'!$D$33*AF22</f>
        <v>1.8582757916274704</v>
      </c>
      <c r="D48" s="626">
        <f>+'Beta (CTR)'!$E$3*B22+'Beta (CTR)'!$E$4*C22+'Beta (CTR)'!$E$15*N22+'Beta (CTR)'!$E$16*O22+'Beta (CTR)'!$E$21*T22+'Beta (CTR)'!$E$24*W22+'Beta (CTR)'!$E$25*X22+'Beta (CTR)'!$E$27*Z22+'Beta (CTR)'!$E$28*AA22+'Beta (CTR)'!$E$29*AB22</f>
        <v>1.6415286865223995</v>
      </c>
      <c r="E48" s="626">
        <f>+'Beta (CTR)'!$F$4*C22+'Beta (CTR)'!$F$10*I22+'Beta (CTR)'!$F$16*O22+'Beta (CTR)'!$F$21*T22+'Beta (CTR)'!$F$24*W22+'Beta (CTR)'!$F$25*X22+'Beta (CTR)'!$F$26*Y22+'Beta (CTR)'!$F$27*Z22+'Beta (CTR)'!$F$29*AB22+'Beta (CTR)'!$F$30*AC22</f>
        <v>1.2697212309286612</v>
      </c>
      <c r="F48" s="626">
        <f>+'Beta (CTR)'!$G$3*B22+'Beta (CTR)'!$G$11*J22+'Beta (CTR)'!$G$12*K22+'Beta (CTR)'!$G$21*T22+'Beta (CTR)'!$G$23*V22+'Beta (CTR)'!$G$24*W22+'Beta (CTR)'!$G$28*AA22</f>
        <v>2.157950114901638</v>
      </c>
      <c r="G48" s="626">
        <f>+'Beta (CTR)'!$H$3*B22+'Beta (CTR)'!$H$5*D22+'Beta (CTR)'!$H$7*F22+'Beta (CTR)'!$H$21*T22+'Beta (CTR)'!$H$23*V22+'Beta (CTR)'!$H$24*W22+'Beta (CTR)'!$H$25*X22+'Beta (CTR)'!$H$27*Z22+'Beta (CTR)'!$H$29*AB22+'Beta (CTR)'!$H$32*AE22+'Beta (CTR)'!$H$33*AF22</f>
        <v>1.6427573266195143</v>
      </c>
      <c r="H48" s="626">
        <f>+'Beta (CTR)'!$I$4*C22+'Beta (CTR)'!$I$6*E22+'Beta (CTR)'!$I$9*H22+'Beta (CTR)'!$I$13*L22+'Beta (CTR)'!$I$14*M22+'Beta (CTR)'!$I$19*R22+'Beta (CTR)'!$I$22*U22+'Beta (CTR)'!$I$25*X22+'Beta (CTR)'!$I$30*AC22</f>
        <v>0.66978577033679221</v>
      </c>
      <c r="I48" s="626">
        <f>+'Beta (CTR)'!$J$16*O22+'Beta (CTR)'!$J$20*S22+'Beta (CTR)'!$J$21*T22+'Beta (CTR)'!$J$23*V22+'Beta (CTR)'!$J$24*W22+'Beta (CTR)'!$J$26*Y22+'Beta (CTR)'!$J$27*Z22+'Beta (CTR)'!$J$30*AC22+'Beta (CTR)'!$J$31*AD22+'Beta (CTR)'!$J$32*AE22</f>
        <v>2.0222106068757344</v>
      </c>
      <c r="J48" s="626">
        <f>+'Beta (CTR)'!$K$3*B22+'Beta (CTR)'!$K$4*C22+'Beta (CTR)'!$K$13*L22+'Beta (CTR)'!$K$15*N22+'Beta (CTR)'!$K$18*Q22+'Beta (CTR)'!$K$22*U22+'Beta (CTR)'!$K$23*V22+'Beta (CTR)'!$K$25*X22+'Beta (CTR)'!$K$27*Z22+'Beta (CTR)'!$K$28*AA22+'Beta (CTR)'!$K$29*AB22+'Beta (CTR)'!$K$30*AC22+'Beta (CTR)'!$K$31*AD22+'Beta (CTR)'!$K$32*AE22</f>
        <v>1.3058006328510683</v>
      </c>
      <c r="K48" s="626">
        <f>+'Beta (CTR)'!$L$3*B22+'Beta (CTR)'!$L$6*E22+'Beta (CTR)'!$L$25*X22+'Beta (CTR)'!$L$27*Z22</f>
        <v>0.69298109524933915</v>
      </c>
      <c r="L48" s="626">
        <f>+'Beta (CTR)'!$M$3*B22+'Beta (CTR)'!$M$4*C22+'Beta (CTR)'!$M$5*D22+'Beta (CTR)'!$M$6*E22+'Beta (CTR)'!$M$7*F22+'Beta (CTR)'!$M$8*G22+'Beta (CTR)'!$M$9*H22+'Beta (CTR)'!$M$10*I22+'Beta (CTR)'!$M$13*L22+'Beta (CTR)'!$M$14*M22+'Beta (CTR)'!$M$15*N22+'Beta (CTR)'!$M$16*O22+'Beta (CTR)'!$M$17*P22+'Beta (CTR)'!$M$18*Q22+'Beta (CTR)'!$M$21*T22+'Beta (CTR)'!$M$22*U22+'Beta (CTR)'!$M$23*V22+'Beta (CTR)'!$M$24*W22+'Beta (CTR)'!$M$25*X22+'Beta (CTR)'!$M$26*Y22+'Beta (CTR)'!$M$27*Z22+'Beta (CTR)'!$M$28*AA22+'Beta (CTR)'!$M$29*AB22+'Beta (CTR)'!$M$30*AC22+'Beta (CTR)'!$M$31*AD22+'Beta (CTR)'!$M$32*AE22+'Beta (CTR)'!$M$33*AF22+'Beta (CTR)'!$M$34*AG22+'Beta (CTR)'!$M$35*AH22+'Beta (CTR)'!$M$36*AI22+'Beta (CTR)'!$M$38*AK22+'Beta (CTR)'!$M$40*AM22</f>
        <v>1.2392262532121285</v>
      </c>
      <c r="M48" s="626">
        <f>+'Beta (CTR)'!$N$3*B22+'Beta (CTR)'!$N$4*C22+'Beta (CTR)'!$N$6*E22+'Beta (CTR)'!$N$8*G22+'Beta (CTR)'!$N$9*H22+'Beta (CTR)'!$N$10*I22+'Beta (CTR)'!$N$13*L22+'Beta (CTR)'!$N$14*M22+'Beta (CTR)'!$N$15*N22+'Beta (CTR)'!$N$16*O22+'Beta (CTR)'!$N$18*Q22+'Beta (CTR)'!$N$19*R22+'Beta (CTR)'!$N$21*T22+'Beta (CTR)'!$N$22*U22+'Beta (CTR)'!$N$23*V22+'Beta (CTR)'!$N$24*W22+'Beta (CTR)'!$N$25*X22+'Beta (CTR)'!$N$26*Y22+'Beta (CTR)'!$N$27*Z22+'Beta (CTR)'!$N$28*AA22+'Beta (CTR)'!$N$29*AB22+'Beta (CTR)'!$N$30*AC22+'Beta (CTR)'!$N$31*AD22+'Beta (CTR)'!$N$32*AE22+'Beta (CTR)'!$N$34*AG22+'Beta (CTR)'!$N$36*AI22+'Beta (CTR)'!$N$42*AO22</f>
        <v>0.61089410740543715</v>
      </c>
      <c r="N48" s="626">
        <f>+'Beta (CTR)'!$O$3*B22+'Beta (CTR)'!$O$5*D22+'Beta (CTR)'!$O$7*F22+'Beta (CTR)'!$O$8*G22+'Beta (CTR)'!$O$21*T22+'Beta (CTR)'!$O$22*U22+'Beta (CTR)'!$O$23*V22+'Beta (CTR)'!$O$24*W22+'Beta (CTR)'!$O$25*X22+'Beta (CTR)'!$O$27*Z22+'Beta (CTR)'!$O$28*AA22+'Beta (CTR)'!$O$29*AB22+'Beta (CTR)'!$O$31*AD22+'Beta (CTR)'!$O$32*AE22+'Beta (CTR)'!$O$33*AF22+'Beta (CTR)'!$O$34*AG22</f>
        <v>0.9324750376203077</v>
      </c>
      <c r="O48" s="626">
        <f>+'Beta (CTR)'!$P$3*B22+'Beta (CTR)'!$P$5*D22+'Beta (CTR)'!$P$7*F22+'Beta (CTR)'!$P$8*G22+'Beta (CTR)'!$P$21*T22+'Beta (CTR)'!$P$22*U22+'Beta (CTR)'!$P$23*V22+'Beta (CTR)'!$P$24*W22+'Beta (CTR)'!$P$25*X22+'Beta (CTR)'!$P$27*Z22+'Beta (CTR)'!$P$28*AA22+'Beta (CTR)'!$P$29*AB22+'Beta (CTR)'!$P$31*AD22+'Beta (CTR)'!$P$32*AE22+'Beta (CTR)'!$P$33*AF22+'Beta (CTR)'!$P$34*AG22+'Beta (CTR)'!$P$39*AL22</f>
        <v>0.8467958295756477</v>
      </c>
      <c r="P48" s="626">
        <f>+'Beta (CTR)'!$Q$3*B22+'Beta (CTR)'!$Q$4*C22+'Beta (CTR)'!$Q$5*D22+'Beta (CTR)'!$Q$6*E22+'Beta (CTR)'!$Q$9*H22+'Beta (CTR)'!$Q$10*I22+'Beta (CTR)'!$Q$11*J22+'Beta (CTR)'!$Q$12*K22+'Beta (CTR)'!$Q$13*L22+'Beta (CTR)'!$Q$14*M22+'Beta (CTR)'!$Q$15*N22+'Beta (CTR)'!$Q$16*O22+'Beta (CTR)'!$Q$17*P22+'Beta (CTR)'!$Q$19*R22+'Beta (CTR)'!$Q$20*S22+'Beta (CTR)'!$Q$21*T22+'Beta (CTR)'!$Q$22*U22+'Beta (CTR)'!$Q$23*V22+'Beta (CTR)'!$Q$24*W22+'Beta (CTR)'!$Q$25*X22+'Beta (CTR)'!$Q$26*Y22+'Beta (CTR)'!$Q$27*Z22+'Beta (CTR)'!$Q$28*AA22+'Beta (CTR)'!$Q$29*AB22+'Beta (CTR)'!$Q$30*AC22+'Beta (CTR)'!$Q$31*AD22+'Beta (CTR)'!$Q$32*AE22+'Beta (CTR)'!$Q$33*AF22+'Beta (CTR)'!$Q$37*AJ22+'Beta (CTR)'!$Q$41*AN22</f>
        <v>1.7372202644946986</v>
      </c>
      <c r="Q48" s="626">
        <f>+'Beta (CTR)'!$R$3*B22+'Beta (CTR)'!$R$4*C22+'Beta (CTR)'!$R$5*D22+'Beta (CTR)'!$R$6*E22+'Beta (CTR)'!$R$9*H22+'Beta (CTR)'!$R$10*I22+'Beta (CTR)'!$R$11*J22+'Beta (CTR)'!$R$12*K22+'Beta (CTR)'!$R$13*L22+'Beta (CTR)'!$R$14*M22+'Beta (CTR)'!$R$15*N22+'Beta (CTR)'!$R$16*O22+'Beta (CTR)'!$R$17*P22+'Beta (CTR)'!$R$19*R22+'Beta (CTR)'!$R$20*S22+'Beta (CTR)'!$R$21*T22+'Beta (CTR)'!$R$22*U22+'Beta (CTR)'!$R$23*V22+'Beta (CTR)'!$R$24*W22+'Beta (CTR)'!$R$25*X22+'Beta (CTR)'!$R$26*Y22+'Beta (CTR)'!$R$27*Z22+'Beta (CTR)'!$R$28*AA22+'Beta (CTR)'!$R$29*AB22+'Beta (CTR)'!$R$30*AC22+'Beta (CTR)'!$R$31*AD22+'Beta (CTR)'!$R$32*AE22+'Beta (CTR)'!$R$33*AF22+'Beta (CTR)'!$R$37*AJ22+'Beta (CTR)'!$R$41*AN22</f>
        <v>1.7372202644946986</v>
      </c>
    </row>
    <row r="49" spans="1:17" x14ac:dyDescent="0.25">
      <c r="A49" s="625">
        <v>22</v>
      </c>
      <c r="B49" s="626">
        <f>+'Beta (CTR)'!$C$3*B23+'Beta (CTR)'!$C$8*G23+'Beta (CTR)'!$C$21*T23+'Beta (CTR)'!$C$22*U23+'Beta (CTR)'!$C$23*V23+'Beta (CTR)'!$C$24*W23+'Beta (CTR)'!$C$27*Z23+'Beta (CTR)'!$C$28*AA23+'Beta (CTR)'!$C$31*AD23</f>
        <v>1.7083111955100747</v>
      </c>
      <c r="C49" s="626">
        <f>+'Beta (CTR)'!$D$3*B23+'Beta (CTR)'!$D$4*C23+'Beta (CTR)'!$D$5*D23+'Beta (CTR)'!$D$10*I23+'Beta (CTR)'!$D$17*P23+'Beta (CTR)'!$D$21*T23+'Beta (CTR)'!$D$22*U23+'Beta (CTR)'!$D$23*V23+'Beta (CTR)'!$D$24*W23+'Beta (CTR)'!$D$25*X23+'Beta (CTR)'!$D$26*Y23+'Beta (CTR)'!$D$27*Z23+'Beta (CTR)'!$D$29*AB23+'Beta (CTR)'!$D$32*AE23+'Beta (CTR)'!$D$33*AF23</f>
        <v>1.3512035734820584</v>
      </c>
      <c r="D49" s="626">
        <f>+'Beta (CTR)'!$E$3*B23+'Beta (CTR)'!$E$4*C23+'Beta (CTR)'!$E$15*N23+'Beta (CTR)'!$E$16*O23+'Beta (CTR)'!$E$21*T23+'Beta (CTR)'!$E$24*W23+'Beta (CTR)'!$E$25*X23+'Beta (CTR)'!$E$27*Z23+'Beta (CTR)'!$E$28*AA23+'Beta (CTR)'!$E$29*AB23</f>
        <v>1.2378618970974271</v>
      </c>
      <c r="E49" s="626">
        <f>+'Beta (CTR)'!$F$4*C23+'Beta (CTR)'!$F$10*I23+'Beta (CTR)'!$F$16*O23+'Beta (CTR)'!$F$21*T23+'Beta (CTR)'!$F$24*W23+'Beta (CTR)'!$F$25*X23+'Beta (CTR)'!$F$26*Y23+'Beta (CTR)'!$F$27*Z23+'Beta (CTR)'!$F$29*AB23+'Beta (CTR)'!$F$30*AC23</f>
        <v>1.0624246842393532</v>
      </c>
      <c r="F49" s="626">
        <f>+'Beta (CTR)'!$G$3*B23+'Beta (CTR)'!$G$11*J23+'Beta (CTR)'!$G$12*K23+'Beta (CTR)'!$G$21*T23+'Beta (CTR)'!$G$23*V23+'Beta (CTR)'!$G$24*W23+'Beta (CTR)'!$G$28*AA23</f>
        <v>1.8562275136431399</v>
      </c>
      <c r="G49" s="626">
        <f>+'Beta (CTR)'!$H$3*B23+'Beta (CTR)'!$H$5*D23+'Beta (CTR)'!$H$7*F23+'Beta (CTR)'!$H$21*T23+'Beta (CTR)'!$H$23*V23+'Beta (CTR)'!$H$24*W23+'Beta (CTR)'!$H$25*X23+'Beta (CTR)'!$H$27*Z23+'Beta (CTR)'!$H$29*AB23+'Beta (CTR)'!$H$32*AE23+'Beta (CTR)'!$H$33*AF23</f>
        <v>1.3788515679309159</v>
      </c>
      <c r="H49" s="626">
        <f>+'Beta (CTR)'!$I$4*C23+'Beta (CTR)'!$I$6*E23+'Beta (CTR)'!$I$9*H23+'Beta (CTR)'!$I$13*L23+'Beta (CTR)'!$I$14*M23+'Beta (CTR)'!$I$19*R23+'Beta (CTR)'!$I$22*U23+'Beta (CTR)'!$I$25*X23+'Beta (CTR)'!$I$30*AC23</f>
        <v>0.6365373936361014</v>
      </c>
      <c r="I49" s="626">
        <f>+'Beta (CTR)'!$J$16*O23+'Beta (CTR)'!$J$20*S23+'Beta (CTR)'!$J$21*T23+'Beta (CTR)'!$J$23*V23+'Beta (CTR)'!$J$24*W23+'Beta (CTR)'!$J$26*Y23+'Beta (CTR)'!$J$27*Z23+'Beta (CTR)'!$J$30*AC23+'Beta (CTR)'!$J$31*AD23+'Beta (CTR)'!$J$32*AE23</f>
        <v>1.7747734150681387</v>
      </c>
      <c r="J49" s="626">
        <f>+'Beta (CTR)'!$K$3*B23+'Beta (CTR)'!$K$4*C23+'Beta (CTR)'!$K$13*L23+'Beta (CTR)'!$K$15*N23+'Beta (CTR)'!$K$18*Q23+'Beta (CTR)'!$K$22*U23+'Beta (CTR)'!$K$23*V23+'Beta (CTR)'!$K$25*X23+'Beta (CTR)'!$K$27*Z23+'Beta (CTR)'!$K$28*AA23+'Beta (CTR)'!$K$29*AB23+'Beta (CTR)'!$K$30*AC23+'Beta (CTR)'!$K$31*AD23+'Beta (CTR)'!$K$32*AE23</f>
        <v>1.3062122481601235</v>
      </c>
      <c r="K49" s="626">
        <f>+'Beta (CTR)'!$L$3*B23+'Beta (CTR)'!$L$6*E23+'Beta (CTR)'!$L$25*X23+'Beta (CTR)'!$L$27*Z23</f>
        <v>0.7041055963302274</v>
      </c>
      <c r="L49" s="626">
        <f>+'Beta (CTR)'!$M$3*B23+'Beta (CTR)'!$M$4*C23+'Beta (CTR)'!$M$5*D23+'Beta (CTR)'!$M$6*E23+'Beta (CTR)'!$M$7*F23+'Beta (CTR)'!$M$8*G23+'Beta (CTR)'!$M$9*H23+'Beta (CTR)'!$M$10*I23+'Beta (CTR)'!$M$13*L23+'Beta (CTR)'!$M$14*M23+'Beta (CTR)'!$M$15*N23+'Beta (CTR)'!$M$16*O23+'Beta (CTR)'!$M$17*P23+'Beta (CTR)'!$M$18*Q23+'Beta (CTR)'!$M$21*T23+'Beta (CTR)'!$M$22*U23+'Beta (CTR)'!$M$23*V23+'Beta (CTR)'!$M$24*W23+'Beta (CTR)'!$M$25*X23+'Beta (CTR)'!$M$26*Y23+'Beta (CTR)'!$M$27*Z23+'Beta (CTR)'!$M$28*AA23+'Beta (CTR)'!$M$29*AB23+'Beta (CTR)'!$M$30*AC23+'Beta (CTR)'!$M$31*AD23+'Beta (CTR)'!$M$32*AE23+'Beta (CTR)'!$M$33*AF23+'Beta (CTR)'!$M$34*AG23+'Beta (CTR)'!$M$35*AH23+'Beta (CTR)'!$M$36*AI23+'Beta (CTR)'!$M$38*AK23+'Beta (CTR)'!$M$40*AM23</f>
        <v>1.1164039839640012</v>
      </c>
      <c r="M49" s="626">
        <f>+'Beta (CTR)'!$N$3*B23+'Beta (CTR)'!$N$4*C23+'Beta (CTR)'!$N$6*E23+'Beta (CTR)'!$N$8*G23+'Beta (CTR)'!$N$9*H23+'Beta (CTR)'!$N$10*I23+'Beta (CTR)'!$N$13*L23+'Beta (CTR)'!$N$14*M23+'Beta (CTR)'!$N$15*N23+'Beta (CTR)'!$N$16*O23+'Beta (CTR)'!$N$18*Q23+'Beta (CTR)'!$N$19*R23+'Beta (CTR)'!$N$21*T23+'Beta (CTR)'!$N$22*U23+'Beta (CTR)'!$N$23*V23+'Beta (CTR)'!$N$24*W23+'Beta (CTR)'!$N$25*X23+'Beta (CTR)'!$N$26*Y23+'Beta (CTR)'!$N$27*Z23+'Beta (CTR)'!$N$28*AA23+'Beta (CTR)'!$N$29*AB23+'Beta (CTR)'!$N$30*AC23+'Beta (CTR)'!$N$31*AD23+'Beta (CTR)'!$N$32*AE23+'Beta (CTR)'!$N$34*AG23+'Beta (CTR)'!$N$36*AI23+'Beta (CTR)'!$N$42*AO23</f>
        <v>0.83713758560940443</v>
      </c>
      <c r="N49" s="626">
        <f>+'Beta (CTR)'!$O$3*B23+'Beta (CTR)'!$O$5*D23+'Beta (CTR)'!$O$7*F23+'Beta (CTR)'!$O$8*G23+'Beta (CTR)'!$O$21*T23+'Beta (CTR)'!$O$22*U23+'Beta (CTR)'!$O$23*V23+'Beta (CTR)'!$O$24*W23+'Beta (CTR)'!$O$25*X23+'Beta (CTR)'!$O$27*Z23+'Beta (CTR)'!$O$28*AA23+'Beta (CTR)'!$O$29*AB23+'Beta (CTR)'!$O$31*AD23+'Beta (CTR)'!$O$32*AE23+'Beta (CTR)'!$O$33*AF23+'Beta (CTR)'!$O$34*AG23</f>
        <v>1.1407309271212041</v>
      </c>
      <c r="O49" s="626">
        <f>+'Beta (CTR)'!$P$3*B23+'Beta (CTR)'!$P$5*D23+'Beta (CTR)'!$P$7*F23+'Beta (CTR)'!$P$8*G23+'Beta (CTR)'!$P$21*T23+'Beta (CTR)'!$P$22*U23+'Beta (CTR)'!$P$23*V23+'Beta (CTR)'!$P$24*W23+'Beta (CTR)'!$P$25*X23+'Beta (CTR)'!$P$27*Z23+'Beta (CTR)'!$P$28*AA23+'Beta (CTR)'!$P$29*AB23+'Beta (CTR)'!$P$31*AD23+'Beta (CTR)'!$P$32*AE23+'Beta (CTR)'!$P$33*AF23+'Beta (CTR)'!$P$34*AG23+'Beta (CTR)'!$P$39*AL23</f>
        <v>1.104324130742709</v>
      </c>
      <c r="P49" s="626">
        <f>+'Beta (CTR)'!$Q$3*B23+'Beta (CTR)'!$Q$4*C23+'Beta (CTR)'!$Q$5*D23+'Beta (CTR)'!$Q$6*E23+'Beta (CTR)'!$Q$9*H23+'Beta (CTR)'!$Q$10*I23+'Beta (CTR)'!$Q$11*J23+'Beta (CTR)'!$Q$12*K23+'Beta (CTR)'!$Q$13*L23+'Beta (CTR)'!$Q$14*M23+'Beta (CTR)'!$Q$15*N23+'Beta (CTR)'!$Q$16*O23+'Beta (CTR)'!$Q$17*P23+'Beta (CTR)'!$Q$19*R23+'Beta (CTR)'!$Q$20*S23+'Beta (CTR)'!$Q$21*T23+'Beta (CTR)'!$Q$22*U23+'Beta (CTR)'!$Q$23*V23+'Beta (CTR)'!$Q$24*W23+'Beta (CTR)'!$Q$25*X23+'Beta (CTR)'!$Q$26*Y23+'Beta (CTR)'!$Q$27*Z23+'Beta (CTR)'!$Q$28*AA23+'Beta (CTR)'!$Q$29*AB23+'Beta (CTR)'!$Q$30*AC23+'Beta (CTR)'!$Q$31*AD23+'Beta (CTR)'!$Q$32*AE23+'Beta (CTR)'!$Q$33*AF23+'Beta (CTR)'!$Q$37*AJ23+'Beta (CTR)'!$Q$41*AN23</f>
        <v>1.3106379086719953</v>
      </c>
      <c r="Q49" s="626">
        <f>+'Beta (CTR)'!$R$3*B23+'Beta (CTR)'!$R$4*C23+'Beta (CTR)'!$R$5*D23+'Beta (CTR)'!$R$6*E23+'Beta (CTR)'!$R$9*H23+'Beta (CTR)'!$R$10*I23+'Beta (CTR)'!$R$11*J23+'Beta (CTR)'!$R$12*K23+'Beta (CTR)'!$R$13*L23+'Beta (CTR)'!$R$14*M23+'Beta (CTR)'!$R$15*N23+'Beta (CTR)'!$R$16*O23+'Beta (CTR)'!$R$17*P23+'Beta (CTR)'!$R$19*R23+'Beta (CTR)'!$R$20*S23+'Beta (CTR)'!$R$21*T23+'Beta (CTR)'!$R$22*U23+'Beta (CTR)'!$R$23*V23+'Beta (CTR)'!$R$24*W23+'Beta (CTR)'!$R$25*X23+'Beta (CTR)'!$R$26*Y23+'Beta (CTR)'!$R$27*Z23+'Beta (CTR)'!$R$28*AA23+'Beta (CTR)'!$R$29*AB23+'Beta (CTR)'!$R$30*AC23+'Beta (CTR)'!$R$31*AD23+'Beta (CTR)'!$R$32*AE23+'Beta (CTR)'!$R$33*AF23+'Beta (CTR)'!$R$37*AJ23+'Beta (CTR)'!$R$41*AN23</f>
        <v>1.3106379086719953</v>
      </c>
    </row>
    <row r="50" spans="1:17" x14ac:dyDescent="0.25">
      <c r="A50" s="625">
        <v>23</v>
      </c>
      <c r="B50" s="626">
        <f>+'Beta (CTR)'!$C$3*B24+'Beta (CTR)'!$C$8*G24+'Beta (CTR)'!$C$21*T24+'Beta (CTR)'!$C$22*U24+'Beta (CTR)'!$C$23*V24+'Beta (CTR)'!$C$24*W24+'Beta (CTR)'!$C$27*Z24+'Beta (CTR)'!$C$28*AA24+'Beta (CTR)'!$C$31*AD24</f>
        <v>1.6290534705587272</v>
      </c>
      <c r="C50" s="626">
        <f>+'Beta (CTR)'!$D$3*B24+'Beta (CTR)'!$D$4*C24+'Beta (CTR)'!$D$5*D24+'Beta (CTR)'!$D$10*I24+'Beta (CTR)'!$D$17*P24+'Beta (CTR)'!$D$21*T24+'Beta (CTR)'!$D$22*U24+'Beta (CTR)'!$D$23*V24+'Beta (CTR)'!$D$24*W24+'Beta (CTR)'!$D$25*X24+'Beta (CTR)'!$D$26*Y24+'Beta (CTR)'!$D$27*Z24+'Beta (CTR)'!$D$29*AB24+'Beta (CTR)'!$D$32*AE24+'Beta (CTR)'!$D$33*AF24</f>
        <v>1.071606232039795</v>
      </c>
      <c r="D50" s="626">
        <f>+'Beta (CTR)'!$E$3*B24+'Beta (CTR)'!$E$4*C24+'Beta (CTR)'!$E$15*N24+'Beta (CTR)'!$E$16*O24+'Beta (CTR)'!$E$21*T24+'Beta (CTR)'!$E$24*W24+'Beta (CTR)'!$E$25*X24+'Beta (CTR)'!$E$27*Z24+'Beta (CTR)'!$E$28*AA24+'Beta (CTR)'!$E$29*AB24</f>
        <v>0.99051662728875234</v>
      </c>
      <c r="E50" s="626">
        <f>+'Beta (CTR)'!$F$4*C24+'Beta (CTR)'!$F$10*I24+'Beta (CTR)'!$F$16*O24+'Beta (CTR)'!$F$21*T24+'Beta (CTR)'!$F$24*W24+'Beta (CTR)'!$F$25*X24+'Beta (CTR)'!$F$26*Y24+'Beta (CTR)'!$F$27*Z24+'Beta (CTR)'!$F$29*AB24+'Beta (CTR)'!$F$30*AC24</f>
        <v>0.93842587196685556</v>
      </c>
      <c r="F50" s="626">
        <f>+'Beta (CTR)'!$G$3*B24+'Beta (CTR)'!$G$11*J24+'Beta (CTR)'!$G$12*K24+'Beta (CTR)'!$G$21*T24+'Beta (CTR)'!$G$23*V24+'Beta (CTR)'!$G$24*W24+'Beta (CTR)'!$G$28*AA24</f>
        <v>1.3215568580415162</v>
      </c>
      <c r="G50" s="626">
        <f>+'Beta (CTR)'!$H$3*B24+'Beta (CTR)'!$H$5*D24+'Beta (CTR)'!$H$7*F24+'Beta (CTR)'!$H$21*T24+'Beta (CTR)'!$H$23*V24+'Beta (CTR)'!$H$24*W24+'Beta (CTR)'!$H$25*X24+'Beta (CTR)'!$H$27*Z24+'Beta (CTR)'!$H$29*AB24+'Beta (CTR)'!$H$32*AE24+'Beta (CTR)'!$H$33*AF24</f>
        <v>1.2283938420129168</v>
      </c>
      <c r="H50" s="626">
        <f>+'Beta (CTR)'!$I$4*C24+'Beta (CTR)'!$I$6*E24+'Beta (CTR)'!$I$9*H24+'Beta (CTR)'!$I$13*L24+'Beta (CTR)'!$I$14*M24+'Beta (CTR)'!$I$19*R24+'Beta (CTR)'!$I$22*U24+'Beta (CTR)'!$I$25*X24+'Beta (CTR)'!$I$30*AC24</f>
        <v>0.50215116595062104</v>
      </c>
      <c r="I50" s="626">
        <f>+'Beta (CTR)'!$J$16*O24+'Beta (CTR)'!$J$20*S24+'Beta (CTR)'!$J$21*T24+'Beta (CTR)'!$J$23*V24+'Beta (CTR)'!$J$24*W24+'Beta (CTR)'!$J$26*Y24+'Beta (CTR)'!$J$27*Z24+'Beta (CTR)'!$J$30*AC24+'Beta (CTR)'!$J$31*AD24+'Beta (CTR)'!$J$32*AE24</f>
        <v>1.7540654836319993</v>
      </c>
      <c r="J50" s="626">
        <f>+'Beta (CTR)'!$K$3*B24+'Beta (CTR)'!$K$4*C24+'Beta (CTR)'!$K$13*L24+'Beta (CTR)'!$K$15*N24+'Beta (CTR)'!$K$18*Q24+'Beta (CTR)'!$K$22*U24+'Beta (CTR)'!$K$23*V24+'Beta (CTR)'!$K$25*X24+'Beta (CTR)'!$K$27*Z24+'Beta (CTR)'!$K$28*AA24+'Beta (CTR)'!$K$29*AB24+'Beta (CTR)'!$K$30*AC24+'Beta (CTR)'!$K$31*AD24+'Beta (CTR)'!$K$32*AE24</f>
        <v>1.2051302342151164</v>
      </c>
      <c r="K50" s="626">
        <f>+'Beta (CTR)'!$L$3*B24+'Beta (CTR)'!$L$6*E24+'Beta (CTR)'!$L$25*X24+'Beta (CTR)'!$L$27*Z24</f>
        <v>0.76671876280426099</v>
      </c>
      <c r="L50" s="626">
        <f>+'Beta (CTR)'!$M$3*B24+'Beta (CTR)'!$M$4*C24+'Beta (CTR)'!$M$5*D24+'Beta (CTR)'!$M$6*E24+'Beta (CTR)'!$M$7*F24+'Beta (CTR)'!$M$8*G24+'Beta (CTR)'!$M$9*H24+'Beta (CTR)'!$M$10*I24+'Beta (CTR)'!$M$13*L24+'Beta (CTR)'!$M$14*M24+'Beta (CTR)'!$M$15*N24+'Beta (CTR)'!$M$16*O24+'Beta (CTR)'!$M$17*P24+'Beta (CTR)'!$M$18*Q24+'Beta (CTR)'!$M$21*T24+'Beta (CTR)'!$M$22*U24+'Beta (CTR)'!$M$23*V24+'Beta (CTR)'!$M$24*W24+'Beta (CTR)'!$M$25*X24+'Beta (CTR)'!$M$26*Y24+'Beta (CTR)'!$M$27*Z24+'Beta (CTR)'!$M$28*AA24+'Beta (CTR)'!$M$29*AB24+'Beta (CTR)'!$M$30*AC24+'Beta (CTR)'!$M$31*AD24+'Beta (CTR)'!$M$32*AE24+'Beta (CTR)'!$M$33*AF24+'Beta (CTR)'!$M$34*AG24+'Beta (CTR)'!$M$35*AH24+'Beta (CTR)'!$M$36*AI24+'Beta (CTR)'!$M$38*AK24+'Beta (CTR)'!$M$40*AM24</f>
        <v>1.0115176781902659</v>
      </c>
      <c r="M50" s="626">
        <f>+'Beta (CTR)'!$N$3*B24+'Beta (CTR)'!$N$4*C24+'Beta (CTR)'!$N$6*E24+'Beta (CTR)'!$N$8*G24+'Beta (CTR)'!$N$9*H24+'Beta (CTR)'!$N$10*I24+'Beta (CTR)'!$N$13*L24+'Beta (CTR)'!$N$14*M24+'Beta (CTR)'!$N$15*N24+'Beta (CTR)'!$N$16*O24+'Beta (CTR)'!$N$18*Q24+'Beta (CTR)'!$N$19*R24+'Beta (CTR)'!$N$21*T24+'Beta (CTR)'!$N$22*U24+'Beta (CTR)'!$N$23*V24+'Beta (CTR)'!$N$24*W24+'Beta (CTR)'!$N$25*X24+'Beta (CTR)'!$N$26*Y24+'Beta (CTR)'!$N$27*Z24+'Beta (CTR)'!$N$28*AA24+'Beta (CTR)'!$N$29*AB24+'Beta (CTR)'!$N$30*AC24+'Beta (CTR)'!$N$31*AD24+'Beta (CTR)'!$N$32*AE24+'Beta (CTR)'!$N$34*AG24+'Beta (CTR)'!$N$36*AI24+'Beta (CTR)'!$N$42*AO24</f>
        <v>0.81882602376955638</v>
      </c>
      <c r="N50" s="626">
        <f>+'Beta (CTR)'!$O$3*B24+'Beta (CTR)'!$O$5*D24+'Beta (CTR)'!$O$7*F24+'Beta (CTR)'!$O$8*G24+'Beta (CTR)'!$O$21*T24+'Beta (CTR)'!$O$22*U24+'Beta (CTR)'!$O$23*V24+'Beta (CTR)'!$O$24*W24+'Beta (CTR)'!$O$25*X24+'Beta (CTR)'!$O$27*Z24+'Beta (CTR)'!$O$28*AA24+'Beta (CTR)'!$O$29*AB24+'Beta (CTR)'!$O$31*AD24+'Beta (CTR)'!$O$32*AE24+'Beta (CTR)'!$O$33*AF24+'Beta (CTR)'!$O$34*AG24</f>
        <v>1.1337321282517152</v>
      </c>
      <c r="O50" s="626">
        <f>+'Beta (CTR)'!$P$3*B24+'Beta (CTR)'!$P$5*D24+'Beta (CTR)'!$P$7*F24+'Beta (CTR)'!$P$8*G24+'Beta (CTR)'!$P$21*T24+'Beta (CTR)'!$P$22*U24+'Beta (CTR)'!$P$23*V24+'Beta (CTR)'!$P$24*W24+'Beta (CTR)'!$P$25*X24+'Beta (CTR)'!$P$27*Z24+'Beta (CTR)'!$P$28*AA24+'Beta (CTR)'!$P$29*AB24+'Beta (CTR)'!$P$31*AD24+'Beta (CTR)'!$P$32*AE24+'Beta (CTR)'!$P$33*AF24+'Beta (CTR)'!$P$34*AG24+'Beta (CTR)'!$P$39*AL24</f>
        <v>1.1237310587910927</v>
      </c>
      <c r="P50" s="626">
        <f>+'Beta (CTR)'!$Q$3*B24+'Beta (CTR)'!$Q$4*C24+'Beta (CTR)'!$Q$5*D24+'Beta (CTR)'!$Q$6*E24+'Beta (CTR)'!$Q$9*H24+'Beta (CTR)'!$Q$10*I24+'Beta (CTR)'!$Q$11*J24+'Beta (CTR)'!$Q$12*K24+'Beta (CTR)'!$Q$13*L24+'Beta (CTR)'!$Q$14*M24+'Beta (CTR)'!$Q$15*N24+'Beta (CTR)'!$Q$16*O24+'Beta (CTR)'!$Q$17*P24+'Beta (CTR)'!$Q$19*R24+'Beta (CTR)'!$Q$20*S24+'Beta (CTR)'!$Q$21*T24+'Beta (CTR)'!$Q$22*U24+'Beta (CTR)'!$Q$23*V24+'Beta (CTR)'!$Q$24*W24+'Beta (CTR)'!$Q$25*X24+'Beta (CTR)'!$Q$26*Y24+'Beta (CTR)'!$Q$27*Z24+'Beta (CTR)'!$Q$28*AA24+'Beta (CTR)'!$Q$29*AB24+'Beta (CTR)'!$Q$30*AC24+'Beta (CTR)'!$Q$31*AD24+'Beta (CTR)'!$Q$32*AE24+'Beta (CTR)'!$Q$33*AF24+'Beta (CTR)'!$Q$37*AJ24+'Beta (CTR)'!$Q$41*AN24</f>
        <v>1.0661100689042129</v>
      </c>
      <c r="Q50" s="626">
        <f>+'Beta (CTR)'!$R$3*B24+'Beta (CTR)'!$R$4*C24+'Beta (CTR)'!$R$5*D24+'Beta (CTR)'!$R$6*E24+'Beta (CTR)'!$R$9*H24+'Beta (CTR)'!$R$10*I24+'Beta (CTR)'!$R$11*J24+'Beta (CTR)'!$R$12*K24+'Beta (CTR)'!$R$13*L24+'Beta (CTR)'!$R$14*M24+'Beta (CTR)'!$R$15*N24+'Beta (CTR)'!$R$16*O24+'Beta (CTR)'!$R$17*P24+'Beta (CTR)'!$R$19*R24+'Beta (CTR)'!$R$20*S24+'Beta (CTR)'!$R$21*T24+'Beta (CTR)'!$R$22*U24+'Beta (CTR)'!$R$23*V24+'Beta (CTR)'!$R$24*W24+'Beta (CTR)'!$R$25*X24+'Beta (CTR)'!$R$26*Y24+'Beta (CTR)'!$R$27*Z24+'Beta (CTR)'!$R$28*AA24+'Beta (CTR)'!$R$29*AB24+'Beta (CTR)'!$R$30*AC24+'Beta (CTR)'!$R$31*AD24+'Beta (CTR)'!$R$32*AE24+'Beta (CTR)'!$R$33*AF24+'Beta (CTR)'!$R$37*AJ24+'Beta (CTR)'!$R$41*AN24</f>
        <v>1.0661100689042129</v>
      </c>
    </row>
    <row r="51" spans="1:17" x14ac:dyDescent="0.25">
      <c r="A51" s="625">
        <v>24</v>
      </c>
      <c r="B51" s="626">
        <f>+'Beta (CTR)'!$C$3*B25+'Beta (CTR)'!$C$8*G25+'Beta (CTR)'!$C$21*T25+'Beta (CTR)'!$C$22*U25+'Beta (CTR)'!$C$23*V25+'Beta (CTR)'!$C$24*W25+'Beta (CTR)'!$C$27*Z25+'Beta (CTR)'!$C$28*AA25+'Beta (CTR)'!$C$31*AD25</f>
        <v>1.3404577350739824</v>
      </c>
      <c r="C51" s="626">
        <f>+'Beta (CTR)'!$D$3*B25+'Beta (CTR)'!$D$4*C25+'Beta (CTR)'!$D$5*D25+'Beta (CTR)'!$D$10*I25+'Beta (CTR)'!$D$17*P25+'Beta (CTR)'!$D$21*T25+'Beta (CTR)'!$D$22*U25+'Beta (CTR)'!$D$23*V25+'Beta (CTR)'!$D$24*W25+'Beta (CTR)'!$D$25*X25+'Beta (CTR)'!$D$26*Y25+'Beta (CTR)'!$D$27*Z25+'Beta (CTR)'!$D$29*AB25+'Beta (CTR)'!$D$32*AE25+'Beta (CTR)'!$D$33*AF25</f>
        <v>0.84945608783852089</v>
      </c>
      <c r="D51" s="626">
        <f>+'Beta (CTR)'!$E$3*B25+'Beta (CTR)'!$E$4*C25+'Beta (CTR)'!$E$15*N25+'Beta (CTR)'!$E$16*O25+'Beta (CTR)'!$E$21*T25+'Beta (CTR)'!$E$24*W25+'Beta (CTR)'!$E$25*X25+'Beta (CTR)'!$E$27*Z25+'Beta (CTR)'!$E$28*AA25+'Beta (CTR)'!$E$29*AB25</f>
        <v>0.78461358188453478</v>
      </c>
      <c r="E51" s="626">
        <f>+'Beta (CTR)'!$F$4*C25+'Beta (CTR)'!$F$10*I25+'Beta (CTR)'!$F$16*O25+'Beta (CTR)'!$F$21*T25+'Beta (CTR)'!$F$24*W25+'Beta (CTR)'!$F$25*X25+'Beta (CTR)'!$F$26*Y25+'Beta (CTR)'!$F$27*Z25+'Beta (CTR)'!$F$29*AB25+'Beta (CTR)'!$F$30*AC25</f>
        <v>0.75124738983829364</v>
      </c>
      <c r="F51" s="626">
        <f>+'Beta (CTR)'!$G$3*B25+'Beta (CTR)'!$G$11*J25+'Beta (CTR)'!$G$12*K25+'Beta (CTR)'!$G$21*T25+'Beta (CTR)'!$G$23*V25+'Beta (CTR)'!$G$24*W25+'Beta (CTR)'!$G$28*AA25</f>
        <v>0.98283546147155887</v>
      </c>
      <c r="G51" s="626">
        <f>+'Beta (CTR)'!$H$3*B25+'Beta (CTR)'!$H$5*D25+'Beta (CTR)'!$H$7*F25+'Beta (CTR)'!$H$21*T25+'Beta (CTR)'!$H$23*V25+'Beta (CTR)'!$H$24*W25+'Beta (CTR)'!$H$25*X25+'Beta (CTR)'!$H$27*Z25+'Beta (CTR)'!$H$29*AB25+'Beta (CTR)'!$H$32*AE25+'Beta (CTR)'!$H$33*AF25</f>
        <v>0.99774221141608144</v>
      </c>
      <c r="H51" s="626">
        <f>+'Beta (CTR)'!$I$4*C25+'Beta (CTR)'!$I$6*E25+'Beta (CTR)'!$I$9*H25+'Beta (CTR)'!$I$13*L25+'Beta (CTR)'!$I$14*M25+'Beta (CTR)'!$I$19*R25+'Beta (CTR)'!$I$22*U25+'Beta (CTR)'!$I$25*X25+'Beta (CTR)'!$I$30*AC25</f>
        <v>0.38983184416164812</v>
      </c>
      <c r="I51" s="626">
        <f>+'Beta (CTR)'!$J$16*O25+'Beta (CTR)'!$J$20*S25+'Beta (CTR)'!$J$21*T25+'Beta (CTR)'!$J$23*V25+'Beta (CTR)'!$J$24*W25+'Beta (CTR)'!$J$26*Y25+'Beta (CTR)'!$J$27*Z25+'Beta (CTR)'!$J$30*AC25+'Beta (CTR)'!$J$31*AD25+'Beta (CTR)'!$J$32*AE25</f>
        <v>1.2682294578669036</v>
      </c>
      <c r="J51" s="626">
        <f>+'Beta (CTR)'!$K$3*B25+'Beta (CTR)'!$K$4*C25+'Beta (CTR)'!$K$13*L25+'Beta (CTR)'!$K$15*N25+'Beta (CTR)'!$K$18*Q25+'Beta (CTR)'!$K$22*U25+'Beta (CTR)'!$K$23*V25+'Beta (CTR)'!$K$25*X25+'Beta (CTR)'!$K$27*Z25+'Beta (CTR)'!$K$28*AA25+'Beta (CTR)'!$K$29*AB25+'Beta (CTR)'!$K$30*AC25+'Beta (CTR)'!$K$31*AD25+'Beta (CTR)'!$K$32*AE25</f>
        <v>1.0146700510194939</v>
      </c>
      <c r="K51" s="626">
        <f>+'Beta (CTR)'!$L$3*B25+'Beta (CTR)'!$L$6*E25+'Beta (CTR)'!$L$25*X25+'Beta (CTR)'!$L$27*Z25</f>
        <v>0.58066196644880175</v>
      </c>
      <c r="L51" s="626">
        <f>+'Beta (CTR)'!$M$3*B25+'Beta (CTR)'!$M$4*C25+'Beta (CTR)'!$M$5*D25+'Beta (CTR)'!$M$6*E25+'Beta (CTR)'!$M$7*F25+'Beta (CTR)'!$M$8*G25+'Beta (CTR)'!$M$9*H25+'Beta (CTR)'!$M$10*I25+'Beta (CTR)'!$M$13*L25+'Beta (CTR)'!$M$14*M25+'Beta (CTR)'!$M$15*N25+'Beta (CTR)'!$M$16*O25+'Beta (CTR)'!$M$17*P25+'Beta (CTR)'!$M$18*Q25+'Beta (CTR)'!$M$21*T25+'Beta (CTR)'!$M$22*U25+'Beta (CTR)'!$M$23*V25+'Beta (CTR)'!$M$24*W25+'Beta (CTR)'!$M$25*X25+'Beta (CTR)'!$M$26*Y25+'Beta (CTR)'!$M$27*Z25+'Beta (CTR)'!$M$28*AA25+'Beta (CTR)'!$M$29*AB25+'Beta (CTR)'!$M$30*AC25+'Beta (CTR)'!$M$31*AD25+'Beta (CTR)'!$M$32*AE25+'Beta (CTR)'!$M$33*AF25+'Beta (CTR)'!$M$34*AG25+'Beta (CTR)'!$M$35*AH25+'Beta (CTR)'!$M$36*AI25+'Beta (CTR)'!$M$38*AK25+'Beta (CTR)'!$M$40*AM25</f>
        <v>0.83542297348815753</v>
      </c>
      <c r="M51" s="626">
        <f>+'Beta (CTR)'!$N$3*B25+'Beta (CTR)'!$N$4*C25+'Beta (CTR)'!$N$6*E25+'Beta (CTR)'!$N$8*G25+'Beta (CTR)'!$N$9*H25+'Beta (CTR)'!$N$10*I25+'Beta (CTR)'!$N$13*L25+'Beta (CTR)'!$N$14*M25+'Beta (CTR)'!$N$15*N25+'Beta (CTR)'!$N$16*O25+'Beta (CTR)'!$N$18*Q25+'Beta (CTR)'!$N$19*R25+'Beta (CTR)'!$N$21*T25+'Beta (CTR)'!$N$22*U25+'Beta (CTR)'!$N$23*V25+'Beta (CTR)'!$N$24*W25+'Beta (CTR)'!$N$25*X25+'Beta (CTR)'!$N$26*Y25+'Beta (CTR)'!$N$27*Z25+'Beta (CTR)'!$N$28*AA25+'Beta (CTR)'!$N$29*AB25+'Beta (CTR)'!$N$30*AC25+'Beta (CTR)'!$N$31*AD25+'Beta (CTR)'!$N$32*AE25+'Beta (CTR)'!$N$34*AG25+'Beta (CTR)'!$N$36*AI25+'Beta (CTR)'!$N$42*AO25</f>
        <v>0.68928405742955234</v>
      </c>
      <c r="N51" s="626">
        <f>+'Beta (CTR)'!$O$3*B25+'Beta (CTR)'!$O$5*D25+'Beta (CTR)'!$O$7*F25+'Beta (CTR)'!$O$8*G25+'Beta (CTR)'!$O$21*T25+'Beta (CTR)'!$O$22*U25+'Beta (CTR)'!$O$23*V25+'Beta (CTR)'!$O$24*W25+'Beta (CTR)'!$O$25*X25+'Beta (CTR)'!$O$27*Z25+'Beta (CTR)'!$O$28*AA25+'Beta (CTR)'!$O$29*AB25+'Beta (CTR)'!$O$31*AD25+'Beta (CTR)'!$O$32*AE25+'Beta (CTR)'!$O$33*AF25+'Beta (CTR)'!$O$34*AG25</f>
        <v>0.95141876239267398</v>
      </c>
      <c r="O51" s="626">
        <f>+'Beta (CTR)'!$P$3*B25+'Beta (CTR)'!$P$5*D25+'Beta (CTR)'!$P$7*F25+'Beta (CTR)'!$P$8*G25+'Beta (CTR)'!$P$21*T25+'Beta (CTR)'!$P$22*U25+'Beta (CTR)'!$P$23*V25+'Beta (CTR)'!$P$24*W25+'Beta (CTR)'!$P$25*X25+'Beta (CTR)'!$P$27*Z25+'Beta (CTR)'!$P$28*AA25+'Beta (CTR)'!$P$29*AB25+'Beta (CTR)'!$P$31*AD25+'Beta (CTR)'!$P$32*AE25+'Beta (CTR)'!$P$33*AF25+'Beta (CTR)'!$P$34*AG25+'Beta (CTR)'!$P$39*AL25</f>
        <v>0.96785331708695843</v>
      </c>
      <c r="P51" s="626">
        <f>+'Beta (CTR)'!$Q$3*B25+'Beta (CTR)'!$Q$4*C25+'Beta (CTR)'!$Q$5*D25+'Beta (CTR)'!$Q$6*E25+'Beta (CTR)'!$Q$9*H25+'Beta (CTR)'!$Q$10*I25+'Beta (CTR)'!$Q$11*J25+'Beta (CTR)'!$Q$12*K25+'Beta (CTR)'!$Q$13*L25+'Beta (CTR)'!$Q$14*M25+'Beta (CTR)'!$Q$15*N25+'Beta (CTR)'!$Q$16*O25+'Beta (CTR)'!$Q$17*P25+'Beta (CTR)'!$Q$19*R25+'Beta (CTR)'!$Q$20*S25+'Beta (CTR)'!$Q$21*T25+'Beta (CTR)'!$Q$22*U25+'Beta (CTR)'!$Q$23*V25+'Beta (CTR)'!$Q$24*W25+'Beta (CTR)'!$Q$25*X25+'Beta (CTR)'!$Q$26*Y25+'Beta (CTR)'!$Q$27*Z25+'Beta (CTR)'!$Q$28*AA25+'Beta (CTR)'!$Q$29*AB25+'Beta (CTR)'!$Q$30*AC25+'Beta (CTR)'!$Q$31*AD25+'Beta (CTR)'!$Q$32*AE25+'Beta (CTR)'!$Q$33*AF25+'Beta (CTR)'!$Q$37*AJ25+'Beta (CTR)'!$Q$41*AN25</f>
        <v>0.83923895736441489</v>
      </c>
      <c r="Q51" s="626">
        <f>+'Beta (CTR)'!$R$3*B25+'Beta (CTR)'!$R$4*C25+'Beta (CTR)'!$R$5*D25+'Beta (CTR)'!$R$6*E25+'Beta (CTR)'!$R$9*H25+'Beta (CTR)'!$R$10*I25+'Beta (CTR)'!$R$11*J25+'Beta (CTR)'!$R$12*K25+'Beta (CTR)'!$R$13*L25+'Beta (CTR)'!$R$14*M25+'Beta (CTR)'!$R$15*N25+'Beta (CTR)'!$R$16*O25+'Beta (CTR)'!$R$17*P25+'Beta (CTR)'!$R$19*R25+'Beta (CTR)'!$R$20*S25+'Beta (CTR)'!$R$21*T25+'Beta (CTR)'!$R$22*U25+'Beta (CTR)'!$R$23*V25+'Beta (CTR)'!$R$24*W25+'Beta (CTR)'!$R$25*X25+'Beta (CTR)'!$R$26*Y25+'Beta (CTR)'!$R$27*Z25+'Beta (CTR)'!$R$28*AA25+'Beta (CTR)'!$R$29*AB25+'Beta (CTR)'!$R$30*AC25+'Beta (CTR)'!$R$31*AD25+'Beta (CTR)'!$R$32*AE25+'Beta (CTR)'!$R$33*AF25+'Beta (CTR)'!$R$37*AJ25+'Beta (CTR)'!$R$41*AN25</f>
        <v>0.83923895736441489</v>
      </c>
    </row>
    <row r="53" spans="1:17" x14ac:dyDescent="0.25">
      <c r="A53" s="251" t="s">
        <v>673</v>
      </c>
      <c r="B53" s="625" t="s">
        <v>394</v>
      </c>
      <c r="C53" s="625" t="s">
        <v>395</v>
      </c>
      <c r="D53" s="625" t="s">
        <v>396</v>
      </c>
      <c r="E53" s="625" t="s">
        <v>397</v>
      </c>
      <c r="F53" s="625" t="s">
        <v>398</v>
      </c>
      <c r="G53" s="625" t="s">
        <v>399</v>
      </c>
      <c r="H53" s="625" t="s">
        <v>400</v>
      </c>
      <c r="I53" s="625" t="s">
        <v>401</v>
      </c>
      <c r="J53" s="625" t="s">
        <v>402</v>
      </c>
      <c r="K53" s="625" t="s">
        <v>403</v>
      </c>
      <c r="L53" s="625" t="s">
        <v>390</v>
      </c>
      <c r="M53" s="625" t="s">
        <v>391</v>
      </c>
      <c r="N53" s="625" t="s">
        <v>392</v>
      </c>
      <c r="O53" s="625" t="s">
        <v>393</v>
      </c>
      <c r="P53" s="625" t="s">
        <v>404</v>
      </c>
      <c r="Q53" s="625" t="s">
        <v>389</v>
      </c>
    </row>
    <row r="54" spans="1:17" x14ac:dyDescent="0.25">
      <c r="A54" s="625">
        <v>1</v>
      </c>
      <c r="B54" s="626">
        <f>IF(AVERAGE('RT (CTR)'!$H$6:'RT (CTR)'!$H$29)&lt;&gt;0,'RT (CTR)'!$H$12/AVERAGE('RT (CTR)'!$H$6:'RT (CTR)'!$H$29),0)</f>
        <v>1.2190337389791466</v>
      </c>
      <c r="C54" s="626">
        <f>IF(AVERAGE('RT (CTR)'!$I$6:'RT (CTR)'!$I$29)&lt;&gt;0,'RT (CTR)'!$I$12/AVERAGE('RT (CTR)'!$I$6:'RT (CTR)'!$I$29),0)</f>
        <v>0.89950696551248344</v>
      </c>
      <c r="D54" s="626">
        <f>IF(AVERAGE('RT (CTR)'!$J$6:'RT (CTR)'!$J$29)&lt;&gt;0,'RT (CTR)'!$J$12/AVERAGE('RT (CTR)'!$J$6:'RT (CTR)'!$J$29),0)</f>
        <v>0.69316524494528153</v>
      </c>
      <c r="E54" s="626">
        <f>IF(AVERAGE('RT (CTR)'!$K$6:'RT (CTR)'!$K$29)&lt;&gt;0,'RT (CTR)'!$K$12/AVERAGE('RT (CTR)'!$K$6:'RT (CTR)'!$K$29),0)</f>
        <v>0.69433941504703456</v>
      </c>
      <c r="F54" s="626">
        <f>IF(AVERAGE('RT (CTR)'!$L$6:'RT (CTR)'!$L$29)&lt;&gt;0,'RT (CTR)'!$L$12/AVERAGE('RT (CTR)'!$L$6:'RT (CTR)'!$L$29),0)</f>
        <v>0.89180156787282039</v>
      </c>
      <c r="G54" s="626">
        <f>IF(AVERAGE('RT (CTR)'!$M$6:'RT (CTR)'!$M$29)&lt;&gt;0,'RT (CTR)'!$M$12/AVERAGE('RT (CTR)'!$M$6:'RT (CTR)'!$M$29),0)</f>
        <v>0.92114161971448227</v>
      </c>
      <c r="H54" s="626">
        <f>IF(AVERAGE('RT (CTR)'!$N$6:'RT (CTR)'!$N$29)&lt;&gt;0,'RT (CTR)'!$N$12/AVERAGE('RT (CTR)'!$N$6:'RT (CTR)'!$N$29),0)</f>
        <v>0.3225375050198207</v>
      </c>
      <c r="I54" s="626">
        <f>IF(AVERAGE('RT (CTR)'!$O$6:'RT (CTR)'!$O$29)&lt;&gt;0,'RT (CTR)'!$O$12/AVERAGE('RT (CTR)'!$O$6:'RT (CTR)'!$O$29),0)</f>
        <v>0.65313222251787262</v>
      </c>
      <c r="J54" s="626">
        <f>IF(AVERAGE('RT (CTR)'!$P$6:'RT (CTR)'!$P$29)&lt;&gt;0,'RT (CTR)'!$P$12/AVERAGE('RT (CTR)'!$P$6:'RT (CTR)'!$P$29),0)</f>
        <v>0.97027048735346544</v>
      </c>
      <c r="K54" s="626">
        <f>IF(AVERAGE('RT (CTR)'!$Q$6:'RT (CTR)'!$Q$29)&lt;&gt;0,'RT (CTR)'!$Q$12/AVERAGE('RT (CTR)'!$Q$6:'RT (CTR)'!$Q$29),0)</f>
        <v>0.51734632536182867</v>
      </c>
      <c r="L54" s="626">
        <f>IF(AVERAGE('RT (CTR)'!$I$35:'RT (CTR)'!$I$58)&lt;&gt;0,'RT (CTR)'!$I$41/AVERAGE('RT (CTR)'!$I$35:'RT (CTR)'!$I$58),0)</f>
        <v>0.92384249814754338</v>
      </c>
      <c r="M54" s="626">
        <f>IF(AVERAGE('RT (CTR)'!$J$35:'RT (CTR)'!$J$58)&lt;&gt;0,'RT (CTR)'!$J$41/AVERAGE('RT (CTR)'!$J$35:'RT (CTR)'!$J$58),0)</f>
        <v>0.73986586931522369</v>
      </c>
      <c r="N54" s="626">
        <f>IF(AVERAGE('RT (CTR)'!$K$35:'RT (CTR)'!$K$58)&lt;&gt;0,'RT (CTR)'!$K$41/AVERAGE('RT (CTR)'!$K$35:'RT (CTR)'!$K$58),0)</f>
        <v>1.439492138702047</v>
      </c>
      <c r="O54" s="626">
        <f>IF(AVERAGE('RT (CTR)'!$L$35:'RT (CTR)'!$L$58)&lt;&gt;0,'RT (CTR)'!$L$41/AVERAGE('RT (CTR)'!$L$35:'RT (CTR)'!$L$58),0)</f>
        <v>1.1033814841428768</v>
      </c>
      <c r="P54" s="626">
        <f>IF(AVERAGE('RT (CTR)'!$H$35:'RT (CTR)'!$H$58)&lt;&gt;0,'RT (CTR)'!$H$41/AVERAGE('RT (CTR)'!$H$35:'RT (CTR)'!$H$58),0)</f>
        <v>0.63219486382462597</v>
      </c>
      <c r="Q54" s="626">
        <f>IF(AVERAGE('RT (CTR)'!$H$64:'RT (CTR)'!$H$87)&lt;&gt;0,'RT (CTR)'!$H$70/AVERAGE('RT (CTR)'!$H$64:'RT (CTR)'!$H$87),0)</f>
        <v>0.63219486382462597</v>
      </c>
    </row>
    <row r="55" spans="1:17" x14ac:dyDescent="0.25">
      <c r="A55" s="625">
        <v>2</v>
      </c>
      <c r="B55" s="626">
        <f>IF(AVERAGE('RT (CTR)'!$H$6:'RT (CTR)'!$H$29)&lt;&gt;0,'RT (CTR)'!$H$13/AVERAGE('RT (CTR)'!$H$6:'RT (CTR)'!$H$29),0)</f>
        <v>1.0995596846325046</v>
      </c>
      <c r="C55" s="626">
        <f>IF(AVERAGE('RT (CTR)'!$I$6:'RT (CTR)'!$I$29)&lt;&gt;0,'RT (CTR)'!$I$13/AVERAGE('RT (CTR)'!$I$6:'RT (CTR)'!$I$29),0)</f>
        <v>0.79404293356200673</v>
      </c>
      <c r="D55" s="626">
        <f>IF(AVERAGE('RT (CTR)'!$J$6:'RT (CTR)'!$J$29)&lt;&gt;0,'RT (CTR)'!$J$13/AVERAGE('RT (CTR)'!$J$6:'RT (CTR)'!$J$29),0)</f>
        <v>0.57315657122072194</v>
      </c>
      <c r="E55" s="626">
        <f>IF(AVERAGE('RT (CTR)'!$K$6:'RT (CTR)'!$K$29)&lt;&gt;0,'RT (CTR)'!$K$13/AVERAGE('RT (CTR)'!$K$6:'RT (CTR)'!$K$29),0)</f>
        <v>0.59852031171516817</v>
      </c>
      <c r="F55" s="626">
        <f>IF(AVERAGE('RT (CTR)'!$L$6:'RT (CTR)'!$L$29)&lt;&gt;0,'RT (CTR)'!$L$13/AVERAGE('RT (CTR)'!$L$6:'RT (CTR)'!$L$29),0)</f>
        <v>0.81907202480078911</v>
      </c>
      <c r="G55" s="626">
        <f>IF(AVERAGE('RT (CTR)'!$M$6:'RT (CTR)'!$M$29)&lt;&gt;0,'RT (CTR)'!$M$13/AVERAGE('RT (CTR)'!$M$6:'RT (CTR)'!$M$29),0)</f>
        <v>0.88604821355195296</v>
      </c>
      <c r="H55" s="626">
        <f>IF(AVERAGE('RT (CTR)'!$N$6:'RT (CTR)'!$N$29)&lt;&gt;0,'RT (CTR)'!$N$13/AVERAGE('RT (CTR)'!$N$6:'RT (CTR)'!$N$29),0)</f>
        <v>0.29085280529563978</v>
      </c>
      <c r="I55" s="626">
        <f>IF(AVERAGE('RT (CTR)'!$O$6:'RT (CTR)'!$O$29)&lt;&gt;0,'RT (CTR)'!$O$13/AVERAGE('RT (CTR)'!$O$6:'RT (CTR)'!$O$29),0)</f>
        <v>0.62839286538930772</v>
      </c>
      <c r="J55" s="626">
        <f>IF(AVERAGE('RT (CTR)'!$P$6:'RT (CTR)'!$P$29)&lt;&gt;0,'RT (CTR)'!$P$13/AVERAGE('RT (CTR)'!$P$6:'RT (CTR)'!$P$29),0)</f>
        <v>0.84466245618672209</v>
      </c>
      <c r="K55" s="626">
        <f>IF(AVERAGE('RT (CTR)'!$Q$6:'RT (CTR)'!$Q$29)&lt;&gt;0,'RT (CTR)'!$Q$13/AVERAGE('RT (CTR)'!$Q$6:'RT (CTR)'!$Q$29),0)</f>
        <v>0.33847108951707666</v>
      </c>
      <c r="L55" s="626">
        <f>IF(AVERAGE('RT (CTR)'!$I$35:'RT (CTR)'!$I$58)&lt;&gt;0,'RT (CTR)'!$I$42/AVERAGE('RT (CTR)'!$I$35:'RT (CTR)'!$I$58),0)</f>
        <v>0.83280896156631457</v>
      </c>
      <c r="M55" s="626">
        <f>IF(AVERAGE('RT (CTR)'!$J$35:'RT (CTR)'!$J$58)&lt;&gt;0,'RT (CTR)'!$J$42/AVERAGE('RT (CTR)'!$J$35:'RT (CTR)'!$J$58),0)</f>
        <v>0.72433422068699027</v>
      </c>
      <c r="N55" s="626">
        <f>IF(AVERAGE('RT (CTR)'!$K$35:'RT (CTR)'!$K$58)&lt;&gt;0,'RT (CTR)'!$K$42/AVERAGE('RT (CTR)'!$K$35:'RT (CTR)'!$K$58),0)</f>
        <v>1.2629473694847901</v>
      </c>
      <c r="O55" s="626">
        <f>IF(AVERAGE('RT (CTR)'!$L$35:'RT (CTR)'!$L$58)&lt;&gt;0,'RT (CTR)'!$L$42/AVERAGE('RT (CTR)'!$L$35:'RT (CTR)'!$L$58),0)</f>
        <v>1.1138917528495813</v>
      </c>
      <c r="P55" s="626">
        <f>IF(AVERAGE('RT (CTR)'!$H$35:'RT (CTR)'!$H$58)&lt;&gt;0,'RT (CTR)'!$H$42/AVERAGE('RT (CTR)'!$H$35:'RT (CTR)'!$H$58),0)</f>
        <v>0.50624892696097357</v>
      </c>
      <c r="Q55" s="626">
        <f>IF(AVERAGE('RT (CTR)'!$H$64:'RT (CTR)'!$H$87)&lt;&gt;0,'RT (CTR)'!$H$71/AVERAGE('RT (CTR)'!$H$64:'RT (CTR)'!$H$87),0)</f>
        <v>0.50624892696097357</v>
      </c>
    </row>
    <row r="56" spans="1:17" x14ac:dyDescent="0.25">
      <c r="A56" s="625">
        <v>3</v>
      </c>
      <c r="B56" s="626">
        <f>IF(AVERAGE('RT (CTR)'!$H$6:'RT (CTR)'!$H$29)&lt;&gt;0,'RT (CTR)'!$H$14/AVERAGE('RT (CTR)'!$H$6:'RT (CTR)'!$H$29),0)</f>
        <v>1.0084360709574884</v>
      </c>
      <c r="C56" s="626">
        <f>IF(AVERAGE('RT (CTR)'!$I$6:'RT (CTR)'!$I$29)&lt;&gt;0,'RT (CTR)'!$I$14/AVERAGE('RT (CTR)'!$I$6:'RT (CTR)'!$I$29),0)</f>
        <v>0.73866831191230942</v>
      </c>
      <c r="D56" s="626">
        <f>IF(AVERAGE('RT (CTR)'!$J$6:'RT (CTR)'!$J$29)&lt;&gt;0,'RT (CTR)'!$J$14/AVERAGE('RT (CTR)'!$J$6:'RT (CTR)'!$J$29),0)</f>
        <v>0.52299061628911458</v>
      </c>
      <c r="E56" s="626">
        <f>IF(AVERAGE('RT (CTR)'!$K$6:'RT (CTR)'!$K$29)&lt;&gt;0,'RT (CTR)'!$K$14/AVERAGE('RT (CTR)'!$K$6:'RT (CTR)'!$K$29),0)</f>
        <v>0.56312953855234649</v>
      </c>
      <c r="F56" s="626">
        <f>IF(AVERAGE('RT (CTR)'!$L$6:'RT (CTR)'!$L$29)&lt;&gt;0,'RT (CTR)'!$L$14/AVERAGE('RT (CTR)'!$L$6:'RT (CTR)'!$L$29),0)</f>
        <v>0.72306523304541914</v>
      </c>
      <c r="G56" s="626">
        <f>IF(AVERAGE('RT (CTR)'!$M$6:'RT (CTR)'!$M$29)&lt;&gt;0,'RT (CTR)'!$M$14/AVERAGE('RT (CTR)'!$M$6:'RT (CTR)'!$M$29),0)</f>
        <v>0.81184884159163395</v>
      </c>
      <c r="H56" s="626">
        <f>IF(AVERAGE('RT (CTR)'!$N$6:'RT (CTR)'!$N$29)&lt;&gt;0,'RT (CTR)'!$N$14/AVERAGE('RT (CTR)'!$N$6:'RT (CTR)'!$N$29),0)</f>
        <v>0.27241144749856505</v>
      </c>
      <c r="I56" s="626">
        <f>IF(AVERAGE('RT (CTR)'!$O$6:'RT (CTR)'!$O$29)&lt;&gt;0,'RT (CTR)'!$O$14/AVERAGE('RT (CTR)'!$O$6:'RT (CTR)'!$O$29),0)</f>
        <v>0.5393311797264827</v>
      </c>
      <c r="J56" s="626">
        <f>IF(AVERAGE('RT (CTR)'!$P$6:'RT (CTR)'!$P$29)&lt;&gt;0,'RT (CTR)'!$P$14/AVERAGE('RT (CTR)'!$P$6:'RT (CTR)'!$P$29),0)</f>
        <v>0.79467672594264382</v>
      </c>
      <c r="K56" s="626">
        <f>IF(AVERAGE('RT (CTR)'!$Q$6:'RT (CTR)'!$Q$29)&lt;&gt;0,'RT (CTR)'!$Q$14/AVERAGE('RT (CTR)'!$Q$6:'RT (CTR)'!$Q$29),0)</f>
        <v>0.2627693904556484</v>
      </c>
      <c r="L56" s="626">
        <f>IF(AVERAGE('RT (CTR)'!$I$35:'RT (CTR)'!$I$58)&lt;&gt;0,'RT (CTR)'!$I$43/AVERAGE('RT (CTR)'!$I$35:'RT (CTR)'!$I$58),0)</f>
        <v>0.76894378238752603</v>
      </c>
      <c r="M56" s="626">
        <f>IF(AVERAGE('RT (CTR)'!$J$35:'RT (CTR)'!$J$58)&lt;&gt;0,'RT (CTR)'!$J$43/AVERAGE('RT (CTR)'!$J$35:'RT (CTR)'!$J$58),0)</f>
        <v>0.66441226020303523</v>
      </c>
      <c r="N56" s="626">
        <f>IF(AVERAGE('RT (CTR)'!$K$35:'RT (CTR)'!$K$58)&lt;&gt;0,'RT (CTR)'!$K$43/AVERAGE('RT (CTR)'!$K$35:'RT (CTR)'!$K$58),0)</f>
        <v>1.1488689820890172</v>
      </c>
      <c r="O56" s="626">
        <f>IF(AVERAGE('RT (CTR)'!$L$35:'RT (CTR)'!$L$58)&lt;&gt;0,'RT (CTR)'!$L$43/AVERAGE('RT (CTR)'!$L$35:'RT (CTR)'!$L$58),0)</f>
        <v>1.1129858678191593</v>
      </c>
      <c r="P56" s="626">
        <f>IF(AVERAGE('RT (CTR)'!$H$35:'RT (CTR)'!$H$58)&lt;&gt;0,'RT (CTR)'!$H$43/AVERAGE('RT (CTR)'!$H$35:'RT (CTR)'!$H$58),0)</f>
        <v>0.43712387385614515</v>
      </c>
      <c r="Q56" s="626">
        <f>IF(AVERAGE('RT (CTR)'!$H$64:'RT (CTR)'!$H$87)&lt;&gt;0,'RT (CTR)'!$H$72/AVERAGE('RT (CTR)'!$H$64:'RT (CTR)'!$H$87),0)</f>
        <v>0.43712387385614515</v>
      </c>
    </row>
    <row r="57" spans="1:17" x14ac:dyDescent="0.25">
      <c r="A57" s="625">
        <v>4</v>
      </c>
      <c r="B57" s="626">
        <f>IF(AVERAGE('RT (CTR)'!$H$6:'RT (CTR)'!$H$29)&lt;&gt;0,'RT (CTR)'!$H$15/AVERAGE('RT (CTR)'!$H$6:'RT (CTR)'!$H$29),0)</f>
        <v>0.92110853385758407</v>
      </c>
      <c r="C57" s="626">
        <f>IF(AVERAGE('RT (CTR)'!$I$6:'RT (CTR)'!$I$29)&lt;&gt;0,'RT (CTR)'!$I$15/AVERAGE('RT (CTR)'!$I$6:'RT (CTR)'!$I$29),0)</f>
        <v>0.69444539563695318</v>
      </c>
      <c r="D57" s="626">
        <f>IF(AVERAGE('RT (CTR)'!$J$6:'RT (CTR)'!$J$29)&lt;&gt;0,'RT (CTR)'!$J$15/AVERAGE('RT (CTR)'!$J$6:'RT (CTR)'!$J$29),0)</f>
        <v>0.52561721594426414</v>
      </c>
      <c r="E57" s="626">
        <f>IF(AVERAGE('RT (CTR)'!$K$6:'RT (CTR)'!$K$29)&lt;&gt;0,'RT (CTR)'!$K$15/AVERAGE('RT (CTR)'!$K$6:'RT (CTR)'!$K$29),0)</f>
        <v>0.55303625153103353</v>
      </c>
      <c r="F57" s="626">
        <f>IF(AVERAGE('RT (CTR)'!$L$6:'RT (CTR)'!$L$29)&lt;&gt;0,'RT (CTR)'!$L$15/AVERAGE('RT (CTR)'!$L$6:'RT (CTR)'!$L$29),0)</f>
        <v>0.68408797960101542</v>
      </c>
      <c r="G57" s="626">
        <f>IF(AVERAGE('RT (CTR)'!$M$6:'RT (CTR)'!$M$29)&lt;&gt;0,'RT (CTR)'!$M$15/AVERAGE('RT (CTR)'!$M$6:'RT (CTR)'!$M$29),0)</f>
        <v>0.77614336416590712</v>
      </c>
      <c r="H57" s="626">
        <f>IF(AVERAGE('RT (CTR)'!$N$6:'RT (CTR)'!$N$29)&lt;&gt;0,'RT (CTR)'!$N$15/AVERAGE('RT (CTR)'!$N$6:'RT (CTR)'!$N$29),0)</f>
        <v>0.2693731225064826</v>
      </c>
      <c r="I57" s="626">
        <f>IF(AVERAGE('RT (CTR)'!$O$6:'RT (CTR)'!$O$29)&lt;&gt;0,'RT (CTR)'!$O$15/AVERAGE('RT (CTR)'!$O$6:'RT (CTR)'!$O$29),0)</f>
        <v>0.53686384117552721</v>
      </c>
      <c r="J57" s="626">
        <f>IF(AVERAGE('RT (CTR)'!$P$6:'RT (CTR)'!$P$29)&lt;&gt;0,'RT (CTR)'!$P$15/AVERAGE('RT (CTR)'!$P$6:'RT (CTR)'!$P$29),0)</f>
        <v>0.72674015543495385</v>
      </c>
      <c r="K57" s="626">
        <f>IF(AVERAGE('RT (CTR)'!$Q$6:'RT (CTR)'!$Q$29)&lt;&gt;0,'RT (CTR)'!$Q$15/AVERAGE('RT (CTR)'!$Q$6:'RT (CTR)'!$Q$29),0)</f>
        <v>0.26302672662394061</v>
      </c>
      <c r="L57" s="626">
        <f>IF(AVERAGE('RT (CTR)'!$I$35:'RT (CTR)'!$I$58)&lt;&gt;0,'RT (CTR)'!$I$44/AVERAGE('RT (CTR)'!$I$35:'RT (CTR)'!$I$58),0)</f>
        <v>0.71326003158839346</v>
      </c>
      <c r="M57" s="626">
        <f>IF(AVERAGE('RT (CTR)'!$J$35:'RT (CTR)'!$J$58)&lt;&gt;0,'RT (CTR)'!$J$44/AVERAGE('RT (CTR)'!$J$35:'RT (CTR)'!$J$58),0)</f>
        <v>0.59961778065668303</v>
      </c>
      <c r="N57" s="626">
        <f>IF(AVERAGE('RT (CTR)'!$K$35:'RT (CTR)'!$K$58)&lt;&gt;0,'RT (CTR)'!$K$44/AVERAGE('RT (CTR)'!$K$35:'RT (CTR)'!$K$58),0)</f>
        <v>1.0344580921276323</v>
      </c>
      <c r="O57" s="626">
        <f>IF(AVERAGE('RT (CTR)'!$L$35:'RT (CTR)'!$L$58)&lt;&gt;0,'RT (CTR)'!$L$44/AVERAGE('RT (CTR)'!$L$35:'RT (CTR)'!$L$58),0)</f>
        <v>1.109337518357721</v>
      </c>
      <c r="P57" s="626">
        <f>IF(AVERAGE('RT (CTR)'!$H$35:'RT (CTR)'!$H$58)&lt;&gt;0,'RT (CTR)'!$H$44/AVERAGE('RT (CTR)'!$H$35:'RT (CTR)'!$H$58),0)</f>
        <v>0.39731086459315701</v>
      </c>
      <c r="Q57" s="626">
        <f>IF(AVERAGE('RT (CTR)'!$H$64:'RT (CTR)'!$H$87)&lt;&gt;0,'RT (CTR)'!$H$73/AVERAGE('RT (CTR)'!$H$64:'RT (CTR)'!$H$87),0)</f>
        <v>0.39731086459315701</v>
      </c>
    </row>
    <row r="58" spans="1:17" x14ac:dyDescent="0.25">
      <c r="A58" s="625">
        <v>5</v>
      </c>
      <c r="B58" s="626">
        <f>IF(AVERAGE('RT (CTR)'!$H$6:'RT (CTR)'!$H$29)&lt;&gt;0,'RT (CTR)'!$H$16/AVERAGE('RT (CTR)'!$H$6:'RT (CTR)'!$H$29),0)</f>
        <v>0.90250873696361245</v>
      </c>
      <c r="C58" s="626">
        <f>IF(AVERAGE('RT (CTR)'!$I$6:'RT (CTR)'!$I$29)&lt;&gt;0,'RT (CTR)'!$I$16/AVERAGE('RT (CTR)'!$I$6:'RT (CTR)'!$I$29),0)</f>
        <v>0.69299096292777118</v>
      </c>
      <c r="D58" s="626">
        <f>IF(AVERAGE('RT (CTR)'!$J$6:'RT (CTR)'!$J$29)&lt;&gt;0,'RT (CTR)'!$J$16/AVERAGE('RT (CTR)'!$J$6:'RT (CTR)'!$J$29),0)</f>
        <v>0.51446903165559699</v>
      </c>
      <c r="E58" s="626">
        <f>IF(AVERAGE('RT (CTR)'!$K$6:'RT (CTR)'!$K$29)&lt;&gt;0,'RT (CTR)'!$K$16/AVERAGE('RT (CTR)'!$K$6:'RT (CTR)'!$K$29),0)</f>
        <v>0.53801313917389326</v>
      </c>
      <c r="F58" s="626">
        <f>IF(AVERAGE('RT (CTR)'!$L$6:'RT (CTR)'!$L$29)&lt;&gt;0,'RT (CTR)'!$L$16/AVERAGE('RT (CTR)'!$L$6:'RT (CTR)'!$L$29),0)</f>
        <v>0.66760806702324049</v>
      </c>
      <c r="G58" s="626">
        <f>IF(AVERAGE('RT (CTR)'!$M$6:'RT (CTR)'!$M$29)&lt;&gt;0,'RT (CTR)'!$M$16/AVERAGE('RT (CTR)'!$M$6:'RT (CTR)'!$M$29),0)</f>
        <v>0.7601526370840439</v>
      </c>
      <c r="H58" s="626">
        <f>IF(AVERAGE('RT (CTR)'!$N$6:'RT (CTR)'!$N$29)&lt;&gt;0,'RT (CTR)'!$N$16/AVERAGE('RT (CTR)'!$N$6:'RT (CTR)'!$N$29),0)</f>
        <v>0.29882651779513603</v>
      </c>
      <c r="I58" s="626">
        <f>IF(AVERAGE('RT (CTR)'!$O$6:'RT (CTR)'!$O$29)&lt;&gt;0,'RT (CTR)'!$O$16/AVERAGE('RT (CTR)'!$O$6:'RT (CTR)'!$O$29),0)</f>
        <v>0.51212448404696242</v>
      </c>
      <c r="J58" s="626">
        <f>IF(AVERAGE('RT (CTR)'!$P$6:'RT (CTR)'!$P$29)&lt;&gt;0,'RT (CTR)'!$P$16/AVERAGE('RT (CTR)'!$P$6:'RT (CTR)'!$P$29),0)</f>
        <v>0.69854699136010401</v>
      </c>
      <c r="K58" s="626">
        <f>IF(AVERAGE('RT (CTR)'!$Q$6:'RT (CTR)'!$Q$29)&lt;&gt;0,'RT (CTR)'!$Q$16/AVERAGE('RT (CTR)'!$Q$6:'RT (CTR)'!$Q$29),0)</f>
        <v>0.23919380819339872</v>
      </c>
      <c r="L58" s="626">
        <f>IF(AVERAGE('RT (CTR)'!$I$35:'RT (CTR)'!$I$58)&lt;&gt;0,'RT (CTR)'!$I$45/AVERAGE('RT (CTR)'!$I$35:'RT (CTR)'!$I$58),0)</f>
        <v>0.6624103141430967</v>
      </c>
      <c r="M58" s="626">
        <f>IF(AVERAGE('RT (CTR)'!$J$35:'RT (CTR)'!$J$58)&lt;&gt;0,'RT (CTR)'!$J$45/AVERAGE('RT (CTR)'!$J$35:'RT (CTR)'!$J$58),0)</f>
        <v>0.61272420502972036</v>
      </c>
      <c r="N58" s="626">
        <f>IF(AVERAGE('RT (CTR)'!$K$35:'RT (CTR)'!$K$58)&lt;&gt;0,'RT (CTR)'!$K$45/AVERAGE('RT (CTR)'!$K$35:'RT (CTR)'!$K$58),0)</f>
        <v>0.95266543068257692</v>
      </c>
      <c r="O58" s="626">
        <f>IF(AVERAGE('RT (CTR)'!$L$35:'RT (CTR)'!$L$58)&lt;&gt;0,'RT (CTR)'!$L$45/AVERAGE('RT (CTR)'!$L$35:'RT (CTR)'!$L$58),0)</f>
        <v>1.1264807321098282</v>
      </c>
      <c r="P58" s="626">
        <f>IF(AVERAGE('RT (CTR)'!$H$35:'RT (CTR)'!$H$58)&lt;&gt;0,'RT (CTR)'!$H$45/AVERAGE('RT (CTR)'!$H$35:'RT (CTR)'!$H$58),0)</f>
        <v>0.39913334975315951</v>
      </c>
      <c r="Q58" s="626">
        <f>IF(AVERAGE('RT (CTR)'!$H$64:'RT (CTR)'!$H$87)&lt;&gt;0,'RT (CTR)'!$H$74/AVERAGE('RT (CTR)'!$H$64:'RT (CTR)'!$H$87),0)</f>
        <v>0.39913334975315951</v>
      </c>
    </row>
    <row r="59" spans="1:17" x14ac:dyDescent="0.25">
      <c r="A59" s="625">
        <v>6</v>
      </c>
      <c r="B59" s="626">
        <f>IF(AVERAGE('RT (CTR)'!$H$6:'RT (CTR)'!$H$29)&lt;&gt;0,'RT (CTR)'!$H$17/AVERAGE('RT (CTR)'!$H$6:'RT (CTR)'!$H$29),0)</f>
        <v>0.87789088760926692</v>
      </c>
      <c r="C59" s="626">
        <f>IF(AVERAGE('RT (CTR)'!$I$6:'RT (CTR)'!$I$29)&lt;&gt;0,'RT (CTR)'!$I$17/AVERAGE('RT (CTR)'!$I$6:'RT (CTR)'!$I$29),0)</f>
        <v>0.71988422881106595</v>
      </c>
      <c r="D59" s="626">
        <f>IF(AVERAGE('RT (CTR)'!$J$6:'RT (CTR)'!$J$29)&lt;&gt;0,'RT (CTR)'!$J$17/AVERAGE('RT (CTR)'!$J$6:'RT (CTR)'!$J$29),0)</f>
        <v>0.53708891616915133</v>
      </c>
      <c r="E59" s="626">
        <f>IF(AVERAGE('RT (CTR)'!$K$6:'RT (CTR)'!$K$29)&lt;&gt;0,'RT (CTR)'!$K$17/AVERAGE('RT (CTR)'!$K$6:'RT (CTR)'!$K$29),0)</f>
        <v>0.5643929716741144</v>
      </c>
      <c r="F59" s="626">
        <f>IF(AVERAGE('RT (CTR)'!$L$6:'RT (CTR)'!$L$29)&lt;&gt;0,'RT (CTR)'!$L$17/AVERAGE('RT (CTR)'!$L$6:'RT (CTR)'!$L$29),0)</f>
        <v>0.79343691527623506</v>
      </c>
      <c r="G59" s="626">
        <f>IF(AVERAGE('RT (CTR)'!$M$6:'RT (CTR)'!$M$29)&lt;&gt;0,'RT (CTR)'!$M$17/AVERAGE('RT (CTR)'!$M$6:'RT (CTR)'!$M$29),0)</f>
        <v>0.81826262435947605</v>
      </c>
      <c r="H59" s="626">
        <f>IF(AVERAGE('RT (CTR)'!$N$6:'RT (CTR)'!$N$29)&lt;&gt;0,'RT (CTR)'!$N$17/AVERAGE('RT (CTR)'!$N$6:'RT (CTR)'!$N$29),0)</f>
        <v>0.25734428805694237</v>
      </c>
      <c r="I59" s="626">
        <f>IF(AVERAGE('RT (CTR)'!$O$6:'RT (CTR)'!$O$29)&lt;&gt;0,'RT (CTR)'!$O$17/AVERAGE('RT (CTR)'!$O$6:'RT (CTR)'!$O$29),0)</f>
        <v>0.59129042685836597</v>
      </c>
      <c r="J59" s="626">
        <f>IF(AVERAGE('RT (CTR)'!$P$6:'RT (CTR)'!$P$29)&lt;&gt;0,'RT (CTR)'!$P$17/AVERAGE('RT (CTR)'!$P$6:'RT (CTR)'!$P$29),0)</f>
        <v>0.7036715711713345</v>
      </c>
      <c r="K59" s="626">
        <f>IF(AVERAGE('RT (CTR)'!$Q$6:'RT (CTR)'!$Q$29)&lt;&gt;0,'RT (CTR)'!$Q$17/AVERAGE('RT (CTR)'!$Q$6:'RT (CTR)'!$Q$29),0)</f>
        <v>0.16622923019471608</v>
      </c>
      <c r="L59" s="626">
        <f>IF(AVERAGE('RT (CTR)'!$I$35:'RT (CTR)'!$I$58)&lt;&gt;0,'RT (CTR)'!$I$46/AVERAGE('RT (CTR)'!$I$35:'RT (CTR)'!$I$58),0)</f>
        <v>0.62267060150738152</v>
      </c>
      <c r="M59" s="626">
        <f>IF(AVERAGE('RT (CTR)'!$J$35:'RT (CTR)'!$J$58)&lt;&gt;0,'RT (CTR)'!$J$46/AVERAGE('RT (CTR)'!$J$35:'RT (CTR)'!$J$58),0)</f>
        <v>0.63461818027538808</v>
      </c>
      <c r="N59" s="626">
        <f>IF(AVERAGE('RT (CTR)'!$K$35:'RT (CTR)'!$K$58)&lt;&gt;0,'RT (CTR)'!$K$46/AVERAGE('RT (CTR)'!$K$35:'RT (CTR)'!$K$58),0)</f>
        <v>0.87237986965867453</v>
      </c>
      <c r="O59" s="626">
        <f>IF(AVERAGE('RT (CTR)'!$L$35:'RT (CTR)'!$L$58)&lt;&gt;0,'RT (CTR)'!$L$46/AVERAGE('RT (CTR)'!$L$35:'RT (CTR)'!$L$58),0)</f>
        <v>1.1086723879620395</v>
      </c>
      <c r="P59" s="626">
        <f>IF(AVERAGE('RT (CTR)'!$H$35:'RT (CTR)'!$H$58)&lt;&gt;0,'RT (CTR)'!$H$46/AVERAGE('RT (CTR)'!$H$35:'RT (CTR)'!$H$58),0)</f>
        <v>0.42829738803747608</v>
      </c>
      <c r="Q59" s="626">
        <f>IF(AVERAGE('RT (CTR)'!$H$64:'RT (CTR)'!$H$87)&lt;&gt;0,'RT (CTR)'!$H$75/AVERAGE('RT (CTR)'!$H$64:'RT (CTR)'!$H$87),0)</f>
        <v>0.42829738803747608</v>
      </c>
    </row>
    <row r="60" spans="1:17" x14ac:dyDescent="0.25">
      <c r="A60" s="625">
        <v>7</v>
      </c>
      <c r="B60" s="626">
        <f>IF(AVERAGE('RT (CTR)'!$H$6:'RT (CTR)'!$H$29)&lt;&gt;0,'RT (CTR)'!$H$18/AVERAGE('RT (CTR)'!$H$6:'RT (CTR)'!$H$29),0)</f>
        <v>0.85523836277665011</v>
      </c>
      <c r="C60" s="626">
        <f>IF(AVERAGE('RT (CTR)'!$I$6:'RT (CTR)'!$I$29)&lt;&gt;0,'RT (CTR)'!$I$18/AVERAGE('RT (CTR)'!$I$6:'RT (CTR)'!$I$29),0)</f>
        <v>0.8585594270749245</v>
      </c>
      <c r="D60" s="626">
        <f>IF(AVERAGE('RT (CTR)'!$J$6:'RT (CTR)'!$J$29)&lt;&gt;0,'RT (CTR)'!$J$18/AVERAGE('RT (CTR)'!$J$6:'RT (CTR)'!$J$29),0)</f>
        <v>0.72366143095470414</v>
      </c>
      <c r="E60" s="626">
        <f>IF(AVERAGE('RT (CTR)'!$K$6:'RT (CTR)'!$K$29)&lt;&gt;0,'RT (CTR)'!$K$18/AVERAGE('RT (CTR)'!$K$6:'RT (CTR)'!$K$29),0)</f>
        <v>0.79521887204191577</v>
      </c>
      <c r="F60" s="626">
        <f>IF(AVERAGE('RT (CTR)'!$L$6:'RT (CTR)'!$L$29)&lt;&gt;0,'RT (CTR)'!$L$18/AVERAGE('RT (CTR)'!$L$6:'RT (CTR)'!$L$29),0)</f>
        <v>1.098459001909829</v>
      </c>
      <c r="G60" s="626">
        <f>IF(AVERAGE('RT (CTR)'!$M$6:'RT (CTR)'!$M$29)&lt;&gt;0,'RT (CTR)'!$M$18/AVERAGE('RT (CTR)'!$M$6:'RT (CTR)'!$M$29),0)</f>
        <v>0.76825570910939001</v>
      </c>
      <c r="H60" s="626">
        <f>IF(AVERAGE('RT (CTR)'!$N$6:'RT (CTR)'!$N$29)&lt;&gt;0,'RT (CTR)'!$N$18/AVERAGE('RT (CTR)'!$N$6:'RT (CTR)'!$N$29),0)</f>
        <v>0.23908915270045678</v>
      </c>
      <c r="I60" s="626">
        <f>IF(AVERAGE('RT (CTR)'!$O$6:'RT (CTR)'!$O$29)&lt;&gt;0,'RT (CTR)'!$O$18/AVERAGE('RT (CTR)'!$O$6:'RT (CTR)'!$O$29),0)</f>
        <v>1.1454388322143834</v>
      </c>
      <c r="J60" s="626">
        <f>IF(AVERAGE('RT (CTR)'!$P$6:'RT (CTR)'!$P$29)&lt;&gt;0,'RT (CTR)'!$P$18/AVERAGE('RT (CTR)'!$P$6:'RT (CTR)'!$P$29),0)</f>
        <v>0.83911177747611643</v>
      </c>
      <c r="K60" s="626">
        <f>IF(AVERAGE('RT (CTR)'!$Q$6:'RT (CTR)'!$Q$29)&lt;&gt;0,'RT (CTR)'!$Q$18/AVERAGE('RT (CTR)'!$Q$6:'RT (CTR)'!$Q$29),0)</f>
        <v>7.0961650163283096E-2</v>
      </c>
      <c r="L60" s="626">
        <f>IF(AVERAGE('RT (CTR)'!$I$35:'RT (CTR)'!$I$58)&lt;&gt;0,'RT (CTR)'!$I$47/AVERAGE('RT (CTR)'!$I$35:'RT (CTR)'!$I$58),0)</f>
        <v>0.62358174000474476</v>
      </c>
      <c r="M60" s="626">
        <f>IF(AVERAGE('RT (CTR)'!$J$35:'RT (CTR)'!$J$58)&lt;&gt;0,'RT (CTR)'!$J$47/AVERAGE('RT (CTR)'!$J$35:'RT (CTR)'!$J$58),0)</f>
        <v>0.68103532233423969</v>
      </c>
      <c r="N60" s="626">
        <f>IF(AVERAGE('RT (CTR)'!$K$35:'RT (CTR)'!$K$58)&lt;&gt;0,'RT (CTR)'!$K$47/AVERAGE('RT (CTR)'!$K$35:'RT (CTR)'!$K$58),0)</f>
        <v>0.83648583795161602</v>
      </c>
      <c r="O60" s="626">
        <f>IF(AVERAGE('RT (CTR)'!$L$35:'RT (CTR)'!$L$58)&lt;&gt;0,'RT (CTR)'!$L$47/AVERAGE('RT (CTR)'!$L$35:'RT (CTR)'!$L$58),0)</f>
        <v>1.0608729053190133</v>
      </c>
      <c r="P60" s="626">
        <f>IF(AVERAGE('RT (CTR)'!$H$35:'RT (CTR)'!$H$58)&lt;&gt;0,'RT (CTR)'!$H$47/AVERAGE('RT (CTR)'!$H$35:'RT (CTR)'!$H$58),0)</f>
        <v>0.62693906405588518</v>
      </c>
      <c r="Q60" s="626">
        <f>IF(AVERAGE('RT (CTR)'!$H$64:'RT (CTR)'!$H$87)&lt;&gt;0,'RT (CTR)'!$H$76/AVERAGE('RT (CTR)'!$H$64:'RT (CTR)'!$H$87),0)</f>
        <v>0.62693906405588518</v>
      </c>
    </row>
    <row r="61" spans="1:17" x14ac:dyDescent="0.25">
      <c r="A61" s="625">
        <v>8</v>
      </c>
      <c r="B61" s="626">
        <f>IF(AVERAGE('RT (CTR)'!$H$6:'RT (CTR)'!$H$29)&lt;&gt;0,'RT (CTR)'!$H$19/AVERAGE('RT (CTR)'!$H$6:'RT (CTR)'!$H$29),0)</f>
        <v>0.74781011520041119</v>
      </c>
      <c r="C61" s="626">
        <f>IF(AVERAGE('RT (CTR)'!$I$6:'RT (CTR)'!$I$29)&lt;&gt;0,'RT (CTR)'!$I$19/AVERAGE('RT (CTR)'!$I$6:'RT (CTR)'!$I$29),0)</f>
        <v>0.80072702643881344</v>
      </c>
      <c r="D61" s="626">
        <f>IF(AVERAGE('RT (CTR)'!$J$6:'RT (CTR)'!$J$29)&lt;&gt;0,'RT (CTR)'!$J$19/AVERAGE('RT (CTR)'!$J$6:'RT (CTR)'!$J$29),0)</f>
        <v>0.91317706639246521</v>
      </c>
      <c r="E61" s="626">
        <f>IF(AVERAGE('RT (CTR)'!$K$6:'RT (CTR)'!$K$29)&lt;&gt;0,'RT (CTR)'!$K$19/AVERAGE('RT (CTR)'!$K$6:'RT (CTR)'!$K$29),0)</f>
        <v>0.87473237002427007</v>
      </c>
      <c r="F61" s="626">
        <f>IF(AVERAGE('RT (CTR)'!$L$6:'RT (CTR)'!$L$29)&lt;&gt;0,'RT (CTR)'!$L$19/AVERAGE('RT (CTR)'!$L$6:'RT (CTR)'!$L$29),0)</f>
        <v>0.91141924910852168</v>
      </c>
      <c r="G61" s="626">
        <f>IF(AVERAGE('RT (CTR)'!$M$6:'RT (CTR)'!$M$29)&lt;&gt;0,'RT (CTR)'!$M$19/AVERAGE('RT (CTR)'!$M$6:'RT (CTR)'!$M$29),0)</f>
        <v>0.7653419910526621</v>
      </c>
      <c r="H61" s="626">
        <f>IF(AVERAGE('RT (CTR)'!$N$6:'RT (CTR)'!$N$29)&lt;&gt;0,'RT (CTR)'!$N$19/AVERAGE('RT (CTR)'!$N$6:'RT (CTR)'!$N$29),0)</f>
        <v>0.59052692579627308</v>
      </c>
      <c r="I61" s="626">
        <f>IF(AVERAGE('RT (CTR)'!$O$6:'RT (CTR)'!$O$29)&lt;&gt;0,'RT (CTR)'!$O$19/AVERAGE('RT (CTR)'!$O$6:'RT (CTR)'!$O$29),0)</f>
        <v>1.2493573264781497</v>
      </c>
      <c r="J61" s="626">
        <f>IF(AVERAGE('RT (CTR)'!$P$6:'RT (CTR)'!$P$29)&lt;&gt;0,'RT (CTR)'!$P$19/AVERAGE('RT (CTR)'!$P$6:'RT (CTR)'!$P$29),0)</f>
        <v>0.74127309008858755</v>
      </c>
      <c r="K61" s="626">
        <f>IF(AVERAGE('RT (CTR)'!$Q$6:'RT (CTR)'!$Q$29)&lt;&gt;0,'RT (CTR)'!$Q$19/AVERAGE('RT (CTR)'!$Q$6:'RT (CTR)'!$Q$29),0)</f>
        <v>0.11926874440014744</v>
      </c>
      <c r="L61" s="626">
        <f>IF(AVERAGE('RT (CTR)'!$I$35:'RT (CTR)'!$I$58)&lt;&gt;0,'RT (CTR)'!$I$48/AVERAGE('RT (CTR)'!$I$35:'RT (CTR)'!$I$58),0)</f>
        <v>0.73430134195736185</v>
      </c>
      <c r="M61" s="626">
        <f>IF(AVERAGE('RT (CTR)'!$J$35:'RT (CTR)'!$J$58)&lt;&gt;0,'RT (CTR)'!$J$48/AVERAGE('RT (CTR)'!$J$35:'RT (CTR)'!$J$58),0)</f>
        <v>0.80131253847340966</v>
      </c>
      <c r="N61" s="626">
        <f>IF(AVERAGE('RT (CTR)'!$K$35:'RT (CTR)'!$K$58)&lt;&gt;0,'RT (CTR)'!$K$48/AVERAGE('RT (CTR)'!$K$35:'RT (CTR)'!$K$58),0)</f>
        <v>0.7846427754815104</v>
      </c>
      <c r="O61" s="626">
        <f>IF(AVERAGE('RT (CTR)'!$L$35:'RT (CTR)'!$L$58)&lt;&gt;0,'RT (CTR)'!$L$48/AVERAGE('RT (CTR)'!$L$35:'RT (CTR)'!$L$58),0)</f>
        <v>1.0697732959693478</v>
      </c>
      <c r="P61" s="626">
        <f>IF(AVERAGE('RT (CTR)'!$H$35:'RT (CTR)'!$H$58)&lt;&gt;0,'RT (CTR)'!$H$48/AVERAGE('RT (CTR)'!$H$35:'RT (CTR)'!$H$58),0)</f>
        <v>0.7322998980004729</v>
      </c>
      <c r="Q61" s="626">
        <f>IF(AVERAGE('RT (CTR)'!$H$64:'RT (CTR)'!$H$87)&lt;&gt;0,'RT (CTR)'!$H$77/AVERAGE('RT (CTR)'!$H$64:'RT (CTR)'!$H$87),0)</f>
        <v>0.7322998980004729</v>
      </c>
    </row>
    <row r="62" spans="1:17" x14ac:dyDescent="0.25">
      <c r="A62" s="625">
        <v>9</v>
      </c>
      <c r="B62" s="626">
        <f>IF(AVERAGE('RT (CTR)'!$H$6:'RT (CTR)'!$H$29)&lt;&gt;0,'RT (CTR)'!$H$20/AVERAGE('RT (CTR)'!$H$6:'RT (CTR)'!$H$29),0)</f>
        <v>0.63319184474753321</v>
      </c>
      <c r="C62" s="626">
        <f>IF(AVERAGE('RT (CTR)'!$I$6:'RT (CTR)'!$I$29)&lt;&gt;0,'RT (CTR)'!$I$20/AVERAGE('RT (CTR)'!$I$6:'RT (CTR)'!$I$29),0)</f>
        <v>0.73957743602017834</v>
      </c>
      <c r="D62" s="626">
        <f>IF(AVERAGE('RT (CTR)'!$J$6:'RT (CTR)'!$J$29)&lt;&gt;0,'RT (CTR)'!$J$20/AVERAGE('RT (CTR)'!$J$6:'RT (CTR)'!$J$29),0)</f>
        <v>1.1266346298453063</v>
      </c>
      <c r="E62" s="626">
        <f>IF(AVERAGE('RT (CTR)'!$K$6:'RT (CTR)'!$K$29)&lt;&gt;0,'RT (CTR)'!$K$20/AVERAGE('RT (CTR)'!$K$6:'RT (CTR)'!$K$29),0)</f>
        <v>1.1231783950741134</v>
      </c>
      <c r="F62" s="626">
        <f>IF(AVERAGE('RT (CTR)'!$L$6:'RT (CTR)'!$L$29)&lt;&gt;0,'RT (CTR)'!$L$20/AVERAGE('RT (CTR)'!$L$6:'RT (CTR)'!$L$29),0)</f>
        <v>0.46382331669750909</v>
      </c>
      <c r="G62" s="626">
        <f>IF(AVERAGE('RT (CTR)'!$M$6:'RT (CTR)'!$M$29)&lt;&gt;0,'RT (CTR)'!$M$20/AVERAGE('RT (CTR)'!$M$6:'RT (CTR)'!$M$29),0)</f>
        <v>0.76729307347595233</v>
      </c>
      <c r="H62" s="626">
        <f>IF(AVERAGE('RT (CTR)'!$N$6:'RT (CTR)'!$N$29)&lt;&gt;0,'RT (CTR)'!$N$20/AVERAGE('RT (CTR)'!$N$6:'RT (CTR)'!$N$29),0)</f>
        <v>1.2379633818529412</v>
      </c>
      <c r="I62" s="626">
        <f>IF(AVERAGE('RT (CTR)'!$O$6:'RT (CTR)'!$O$29)&lt;&gt;0,'RT (CTR)'!$O$20/AVERAGE('RT (CTR)'!$O$6:'RT (CTR)'!$O$29),0)</f>
        <v>0.74219390818070075</v>
      </c>
      <c r="J62" s="626">
        <f>IF(AVERAGE('RT (CTR)'!$P$6:'RT (CTR)'!$P$29)&lt;&gt;0,'RT (CTR)'!$P$20/AVERAGE('RT (CTR)'!$P$6:'RT (CTR)'!$P$29),0)</f>
        <v>0.76733575966654954</v>
      </c>
      <c r="K62" s="626">
        <f>IF(AVERAGE('RT (CTR)'!$Q$6:'RT (CTR)'!$Q$29)&lt;&gt;0,'RT (CTR)'!$Q$20/AVERAGE('RT (CTR)'!$Q$6:'RT (CTR)'!$Q$29),0)</f>
        <v>0.24738177718451526</v>
      </c>
      <c r="L62" s="626">
        <f>IF(AVERAGE('RT (CTR)'!$I$35:'RT (CTR)'!$I$58)&lt;&gt;0,'RT (CTR)'!$I$49/AVERAGE('RT (CTR)'!$I$35:'RT (CTR)'!$I$58),0)</f>
        <v>0.96588343036646929</v>
      </c>
      <c r="M62" s="626">
        <f>IF(AVERAGE('RT (CTR)'!$J$35:'RT (CTR)'!$J$58)&lt;&gt;0,'RT (CTR)'!$J$49/AVERAGE('RT (CTR)'!$J$35:'RT (CTR)'!$J$58),0)</f>
        <v>1.1498007118540172</v>
      </c>
      <c r="N62" s="626">
        <f>IF(AVERAGE('RT (CTR)'!$K$35:'RT (CTR)'!$K$58)&lt;&gt;0,'RT (CTR)'!$K$49/AVERAGE('RT (CTR)'!$K$35:'RT (CTR)'!$K$58),0)</f>
        <v>0.84646530220735805</v>
      </c>
      <c r="O62" s="626">
        <f>IF(AVERAGE('RT (CTR)'!$L$35:'RT (CTR)'!$L$58)&lt;&gt;0,'RT (CTR)'!$L$49/AVERAGE('RT (CTR)'!$L$35:'RT (CTR)'!$L$58),0)</f>
        <v>1.0798235274899746</v>
      </c>
      <c r="P62" s="626">
        <f>IF(AVERAGE('RT (CTR)'!$H$35:'RT (CTR)'!$H$58)&lt;&gt;0,'RT (CTR)'!$H$49/AVERAGE('RT (CTR)'!$H$35:'RT (CTR)'!$H$58),0)</f>
        <v>1.0349051292328866</v>
      </c>
      <c r="Q62" s="626">
        <f>IF(AVERAGE('RT (CTR)'!$H$64:'RT (CTR)'!$H$87)&lt;&gt;0,'RT (CTR)'!$H$78/AVERAGE('RT (CTR)'!$H$64:'RT (CTR)'!$H$87),0)</f>
        <v>1.0349051292328866</v>
      </c>
    </row>
    <row r="63" spans="1:17" x14ac:dyDescent="0.25">
      <c r="A63" s="625">
        <v>10</v>
      </c>
      <c r="B63" s="626">
        <f>IF(AVERAGE('RT (CTR)'!$H$6:'RT (CTR)'!$H$29)&lt;&gt;0,'RT (CTR)'!$H$21/AVERAGE('RT (CTR)'!$H$6:'RT (CTR)'!$H$29),0)</f>
        <v>0.47132676290532088</v>
      </c>
      <c r="C63" s="626">
        <f>IF(AVERAGE('RT (CTR)'!$I$6:'RT (CTR)'!$I$29)&lt;&gt;0,'RT (CTR)'!$I$21/AVERAGE('RT (CTR)'!$I$6:'RT (CTR)'!$I$29),0)</f>
        <v>0.69741192144449626</v>
      </c>
      <c r="D63" s="626">
        <f>IF(AVERAGE('RT (CTR)'!$J$6:'RT (CTR)'!$J$29)&lt;&gt;0,'RT (CTR)'!$J$21/AVERAGE('RT (CTR)'!$J$6:'RT (CTR)'!$J$29),0)</f>
        <v>1.2046684223963964</v>
      </c>
      <c r="E63" s="626">
        <f>IF(AVERAGE('RT (CTR)'!$K$6:'RT (CTR)'!$K$29)&lt;&gt;0,'RT (CTR)'!$K$21/AVERAGE('RT (CTR)'!$K$6:'RT (CTR)'!$K$29),0)</f>
        <v>1.1741542648970904</v>
      </c>
      <c r="F63" s="626">
        <f>IF(AVERAGE('RT (CTR)'!$L$6:'RT (CTR)'!$L$29)&lt;&gt;0,'RT (CTR)'!$L$21/AVERAGE('RT (CTR)'!$L$6:'RT (CTR)'!$L$29),0)</f>
        <v>0.17135928061526159</v>
      </c>
      <c r="G63" s="626">
        <f>IF(AVERAGE('RT (CTR)'!$M$6:'RT (CTR)'!$M$29)&lt;&gt;0,'RT (CTR)'!$M$21/AVERAGE('RT (CTR)'!$M$6:'RT (CTR)'!$M$29),0)</f>
        <v>0.80040681653567192</v>
      </c>
      <c r="H63" s="626">
        <f>IF(AVERAGE('RT (CTR)'!$N$6:'RT (CTR)'!$N$29)&lt;&gt;0,'RT (CTR)'!$N$21/AVERAGE('RT (CTR)'!$N$6:'RT (CTR)'!$N$29),0)</f>
        <v>1.5308973308353393</v>
      </c>
      <c r="I63" s="626">
        <f>IF(AVERAGE('RT (CTR)'!$O$6:'RT (CTR)'!$O$29)&lt;&gt;0,'RT (CTR)'!$O$21/AVERAGE('RT (CTR)'!$O$6:'RT (CTR)'!$O$29),0)</f>
        <v>0.58880989398360928</v>
      </c>
      <c r="J63" s="626">
        <f>IF(AVERAGE('RT (CTR)'!$P$6:'RT (CTR)'!$P$29)&lt;&gt;0,'RT (CTR)'!$P$21/AVERAGE('RT (CTR)'!$P$6:'RT (CTR)'!$P$29),0)</f>
        <v>0.84123999336926281</v>
      </c>
      <c r="K63" s="626">
        <f>IF(AVERAGE('RT (CTR)'!$Q$6:'RT (CTR)'!$Q$29)&lt;&gt;0,'RT (CTR)'!$Q$21/AVERAGE('RT (CTR)'!$Q$6:'RT (CTR)'!$Q$29),0)</f>
        <v>3.5883708407534352</v>
      </c>
      <c r="L63" s="626">
        <f>IF(AVERAGE('RT (CTR)'!$I$35:'RT (CTR)'!$I$58)&lt;&gt;0,'RT (CTR)'!$I$50/AVERAGE('RT (CTR)'!$I$35:'RT (CTR)'!$I$58),0)</f>
        <v>1.0997892520649206</v>
      </c>
      <c r="M63" s="626">
        <f>IF(AVERAGE('RT (CTR)'!$J$35:'RT (CTR)'!$J$58)&lt;&gt;0,'RT (CTR)'!$J$50/AVERAGE('RT (CTR)'!$J$35:'RT (CTR)'!$J$58),0)</f>
        <v>1.3492356798499336</v>
      </c>
      <c r="N63" s="626">
        <f>IF(AVERAGE('RT (CTR)'!$K$35:'RT (CTR)'!$K$58)&lt;&gt;0,'RT (CTR)'!$K$50/AVERAGE('RT (CTR)'!$K$35:'RT (CTR)'!$K$58),0)</f>
        <v>0.88470861757819108</v>
      </c>
      <c r="O63" s="626">
        <f>IF(AVERAGE('RT (CTR)'!$L$35:'RT (CTR)'!$L$58)&lt;&gt;0,'RT (CTR)'!$L$50/AVERAGE('RT (CTR)'!$L$35:'RT (CTR)'!$L$58),0)</f>
        <v>1.0477457074404239</v>
      </c>
      <c r="P63" s="626">
        <f>IF(AVERAGE('RT (CTR)'!$H$35:'RT (CTR)'!$H$58)&lt;&gt;0,'RT (CTR)'!$H$50/AVERAGE('RT (CTR)'!$H$35:'RT (CTR)'!$H$58),0)</f>
        <v>1.0534342637450171</v>
      </c>
      <c r="Q63" s="626">
        <f>IF(AVERAGE('RT (CTR)'!$H$64:'RT (CTR)'!$H$87)&lt;&gt;0,'RT (CTR)'!$H$79/AVERAGE('RT (CTR)'!$H$64:'RT (CTR)'!$H$87),0)</f>
        <v>1.0534342637450171</v>
      </c>
    </row>
    <row r="64" spans="1:17" x14ac:dyDescent="0.25">
      <c r="A64" s="625">
        <v>11</v>
      </c>
      <c r="B64" s="626">
        <f>IF(AVERAGE('RT (CTR)'!$H$6:'RT (CTR)'!$H$29)&lt;&gt;0,'RT (CTR)'!$H$22/AVERAGE('RT (CTR)'!$H$6:'RT (CTR)'!$H$29),0)</f>
        <v>0.55455053154710721</v>
      </c>
      <c r="C64" s="626">
        <f>IF(AVERAGE('RT (CTR)'!$I$6:'RT (CTR)'!$I$29)&lt;&gt;0,'RT (CTR)'!$I$22/AVERAGE('RT (CTR)'!$I$6:'RT (CTR)'!$I$29),0)</f>
        <v>0.73824176216352844</v>
      </c>
      <c r="D64" s="626">
        <f>IF(AVERAGE('RT (CTR)'!$J$6:'RT (CTR)'!$J$29)&lt;&gt;0,'RT (CTR)'!$J$22/AVERAGE('RT (CTR)'!$J$6:'RT (CTR)'!$J$29),0)</f>
        <v>1.1059750770317671</v>
      </c>
      <c r="E64" s="626">
        <f>IF(AVERAGE('RT (CTR)'!$K$6:'RT (CTR)'!$K$29)&lt;&gt;0,'RT (CTR)'!$K$22/AVERAGE('RT (CTR)'!$K$6:'RT (CTR)'!$K$29),0)</f>
        <v>1.3224300664504867</v>
      </c>
      <c r="F64" s="626">
        <f>IF(AVERAGE('RT (CTR)'!$L$6:'RT (CTR)'!$L$29)&lt;&gt;0,'RT (CTR)'!$L$22/AVERAGE('RT (CTR)'!$L$6:'RT (CTR)'!$L$29),0)</f>
        <v>0.11484735554221953</v>
      </c>
      <c r="G64" s="626">
        <f>IF(AVERAGE('RT (CTR)'!$M$6:'RT (CTR)'!$M$29)&lt;&gt;0,'RT (CTR)'!$M$22/AVERAGE('RT (CTR)'!$M$6:'RT (CTR)'!$M$29),0)</f>
        <v>0.82003636409908831</v>
      </c>
      <c r="H64" s="626">
        <f>IF(AVERAGE('RT (CTR)'!$N$6:'RT (CTR)'!$N$29)&lt;&gt;0,'RT (CTR)'!$N$22/AVERAGE('RT (CTR)'!$N$6:'RT (CTR)'!$N$29),0)</f>
        <v>1.7713169934206821</v>
      </c>
      <c r="I64" s="626">
        <f>IF(AVERAGE('RT (CTR)'!$O$6:'RT (CTR)'!$O$29)&lt;&gt;0,'RT (CTR)'!$O$22/AVERAGE('RT (CTR)'!$O$6:'RT (CTR)'!$O$29),0)</f>
        <v>0.86835803237447406</v>
      </c>
      <c r="J64" s="626">
        <f>IF(AVERAGE('RT (CTR)'!$P$6:'RT (CTR)'!$P$29)&lt;&gt;0,'RT (CTR)'!$P$22/AVERAGE('RT (CTR)'!$P$6:'RT (CTR)'!$P$29),0)</f>
        <v>0.91729978621000396</v>
      </c>
      <c r="K64" s="626">
        <f>IF(AVERAGE('RT (CTR)'!$Q$6:'RT (CTR)'!$Q$29)&lt;&gt;0,'RT (CTR)'!$Q$22/AVERAGE('RT (CTR)'!$Q$6:'RT (CTR)'!$Q$29),0)</f>
        <v>2.8286167290764168</v>
      </c>
      <c r="L64" s="626">
        <f>IF(AVERAGE('RT (CTR)'!$I$35:'RT (CTR)'!$I$58)&lt;&gt;0,'RT (CTR)'!$I$51/AVERAGE('RT (CTR)'!$I$35:'RT (CTR)'!$I$58),0)</f>
        <v>1.1784916192266506</v>
      </c>
      <c r="M64" s="626">
        <f>IF(AVERAGE('RT (CTR)'!$J$35:'RT (CTR)'!$J$58)&lt;&gt;0,'RT (CTR)'!$J$51/AVERAGE('RT (CTR)'!$J$35:'RT (CTR)'!$J$58),0)</f>
        <v>1.5045734378620519</v>
      </c>
      <c r="N64" s="626">
        <f>IF(AVERAGE('RT (CTR)'!$K$35:'RT (CTR)'!$K$58)&lt;&gt;0,'RT (CTR)'!$K$51/AVERAGE('RT (CTR)'!$K$35:'RT (CTR)'!$K$58),0)</f>
        <v>0.96199511597019494</v>
      </c>
      <c r="O64" s="626">
        <f>IF(AVERAGE('RT (CTR)'!$L$35:'RT (CTR)'!$L$58)&lt;&gt;0,'RT (CTR)'!$L$51/AVERAGE('RT (CTR)'!$L$35:'RT (CTR)'!$L$58),0)</f>
        <v>1.0308575897220369</v>
      </c>
      <c r="P64" s="626">
        <f>IF(AVERAGE('RT (CTR)'!$H$35:'RT (CTR)'!$H$58)&lt;&gt;0,'RT (CTR)'!$H$51/AVERAGE('RT (CTR)'!$H$35:'RT (CTR)'!$H$58),0)</f>
        <v>1.1217541854566033</v>
      </c>
      <c r="Q64" s="626">
        <f>IF(AVERAGE('RT (CTR)'!$H$64:'RT (CTR)'!$H$87)&lt;&gt;0,'RT (CTR)'!$H$80/AVERAGE('RT (CTR)'!$H$64:'RT (CTR)'!$H$87),0)</f>
        <v>1.1217541854566033</v>
      </c>
    </row>
    <row r="65" spans="1:17" x14ac:dyDescent="0.25">
      <c r="A65" s="625">
        <v>12</v>
      </c>
      <c r="B65" s="626">
        <f>IF(AVERAGE('RT (CTR)'!$H$6:'RT (CTR)'!$H$29)&lt;&gt;0,'RT (CTR)'!$H$23/AVERAGE('RT (CTR)'!$H$6:'RT (CTR)'!$H$29),0)</f>
        <v>0.50686992050747071</v>
      </c>
      <c r="C65" s="626">
        <f>IF(AVERAGE('RT (CTR)'!$I$6:'RT (CTR)'!$I$29)&lt;&gt;0,'RT (CTR)'!$I$23/AVERAGE('RT (CTR)'!$I$6:'RT (CTR)'!$I$29),0)</f>
        <v>0.89787235224967954</v>
      </c>
      <c r="D65" s="626">
        <f>IF(AVERAGE('RT (CTR)'!$J$6:'RT (CTR)'!$J$29)&lt;&gt;0,'RT (CTR)'!$J$23/AVERAGE('RT (CTR)'!$J$6:'RT (CTR)'!$J$29),0)</f>
        <v>1.1040077503925907</v>
      </c>
      <c r="E65" s="626">
        <f>IF(AVERAGE('RT (CTR)'!$K$6:'RT (CTR)'!$K$29)&lt;&gt;0,'RT (CTR)'!$K$23/AVERAGE('RT (CTR)'!$K$6:'RT (CTR)'!$K$29),0)</f>
        <v>1.4031119021146248</v>
      </c>
      <c r="F65" s="626">
        <f>IF(AVERAGE('RT (CTR)'!$L$6:'RT (CTR)'!$L$29)&lt;&gt;0,'RT (CTR)'!$L$23/AVERAGE('RT (CTR)'!$L$6:'RT (CTR)'!$L$29),0)</f>
        <v>0.31863210586795199</v>
      </c>
      <c r="G65" s="626">
        <f>IF(AVERAGE('RT (CTR)'!$M$6:'RT (CTR)'!$M$29)&lt;&gt;0,'RT (CTR)'!$M$23/AVERAGE('RT (CTR)'!$M$6:'RT (CTR)'!$M$29),0)</f>
        <v>0.97066715057277575</v>
      </c>
      <c r="H65" s="626">
        <f>IF(AVERAGE('RT (CTR)'!$N$6:'RT (CTR)'!$N$29)&lt;&gt;0,'RT (CTR)'!$N$23/AVERAGE('RT (CTR)'!$N$6:'RT (CTR)'!$N$29),0)</f>
        <v>1.735884766761483</v>
      </c>
      <c r="I65" s="626">
        <f>IF(AVERAGE('RT (CTR)'!$O$6:'RT (CTR)'!$O$29)&lt;&gt;0,'RT (CTR)'!$O$23/AVERAGE('RT (CTR)'!$O$6:'RT (CTR)'!$O$29),0)</f>
        <v>0.64818435109216033</v>
      </c>
      <c r="J65" s="626">
        <f>IF(AVERAGE('RT (CTR)'!$P$6:'RT (CTR)'!$P$29)&lt;&gt;0,'RT (CTR)'!$P$23/AVERAGE('RT (CTR)'!$P$6:'RT (CTR)'!$P$29),0)</f>
        <v>1.0121398310757121</v>
      </c>
      <c r="K65" s="626">
        <f>IF(AVERAGE('RT (CTR)'!$Q$6:'RT (CTR)'!$Q$29)&lt;&gt;0,'RT (CTR)'!$Q$23/AVERAGE('RT (CTR)'!$Q$6:'RT (CTR)'!$Q$29),0)</f>
        <v>1.8282944268310428</v>
      </c>
      <c r="L65" s="626">
        <f>IF(AVERAGE('RT (CTR)'!$I$35:'RT (CTR)'!$I$58)&lt;&gt;0,'RT (CTR)'!$I$52/AVERAGE('RT (CTR)'!$I$35:'RT (CTR)'!$I$58),0)</f>
        <v>1.2187254663245866</v>
      </c>
      <c r="M65" s="626">
        <f>IF(AVERAGE('RT (CTR)'!$J$35:'RT (CTR)'!$J$58)&lt;&gt;0,'RT (CTR)'!$J$52/AVERAGE('RT (CTR)'!$J$35:'RT (CTR)'!$J$58),0)</f>
        <v>1.4741641865910415</v>
      </c>
      <c r="N65" s="626">
        <f>IF(AVERAGE('RT (CTR)'!$K$35:'RT (CTR)'!$K$58)&lt;&gt;0,'RT (CTR)'!$K$52/AVERAGE('RT (CTR)'!$K$35:'RT (CTR)'!$K$58),0)</f>
        <v>1.0416242394898068</v>
      </c>
      <c r="O65" s="626">
        <f>IF(AVERAGE('RT (CTR)'!$L$35:'RT (CTR)'!$L$58)&lt;&gt;0,'RT (CTR)'!$L$52/AVERAGE('RT (CTR)'!$L$35:'RT (CTR)'!$L$58),0)</f>
        <v>1.0006453119764853</v>
      </c>
      <c r="P65" s="626">
        <f>IF(AVERAGE('RT (CTR)'!$H$35:'RT (CTR)'!$H$58)&lt;&gt;0,'RT (CTR)'!$H$52/AVERAGE('RT (CTR)'!$H$35:'RT (CTR)'!$H$58),0)</f>
        <v>1.1807348803202966</v>
      </c>
      <c r="Q65" s="626">
        <f>IF(AVERAGE('RT (CTR)'!$H$64:'RT (CTR)'!$H$87)&lt;&gt;0,'RT (CTR)'!$H$81/AVERAGE('RT (CTR)'!$H$64:'RT (CTR)'!$H$87),0)</f>
        <v>1.1807348803202966</v>
      </c>
    </row>
    <row r="66" spans="1:17" x14ac:dyDescent="0.25">
      <c r="A66" s="625">
        <v>13</v>
      </c>
      <c r="B66" s="626">
        <f>IF(AVERAGE('RT (CTR)'!$H$6:'RT (CTR)'!$H$29)&lt;&gt;0,'RT (CTR)'!$H$24/AVERAGE('RT (CTR)'!$H$6:'RT (CTR)'!$H$29),0)</f>
        <v>0.43074314442217554</v>
      </c>
      <c r="C66" s="626">
        <f>IF(AVERAGE('RT (CTR)'!$I$6:'RT (CTR)'!$I$29)&lt;&gt;0,'RT (CTR)'!$I$24/AVERAGE('RT (CTR)'!$I$6:'RT (CTR)'!$I$29),0)</f>
        <v>0.90978516170110657</v>
      </c>
      <c r="D66" s="626">
        <f>IF(AVERAGE('RT (CTR)'!$J$6:'RT (CTR)'!$J$29)&lt;&gt;0,'RT (CTR)'!$J$24/AVERAGE('RT (CTR)'!$J$6:'RT (CTR)'!$J$29),0)</f>
        <v>0.7456255399218672</v>
      </c>
      <c r="E66" s="626">
        <f>IF(AVERAGE('RT (CTR)'!$K$6:'RT (CTR)'!$K$29)&lt;&gt;0,'RT (CTR)'!$K$24/AVERAGE('RT (CTR)'!$K$6:'RT (CTR)'!$K$29),0)</f>
        <v>1.2070890855703098</v>
      </c>
      <c r="F66" s="626">
        <f>IF(AVERAGE('RT (CTR)'!$L$6:'RT (CTR)'!$L$29)&lt;&gt;0,'RT (CTR)'!$L$24/AVERAGE('RT (CTR)'!$L$6:'RT (CTR)'!$L$29),0)</f>
        <v>0.26396461394999093</v>
      </c>
      <c r="G66" s="626">
        <f>IF(AVERAGE('RT (CTR)'!$M$6:'RT (CTR)'!$M$29)&lt;&gt;0,'RT (CTR)'!$M$24/AVERAGE('RT (CTR)'!$M$6:'RT (CTR)'!$M$29),0)</f>
        <v>0.91974737121500938</v>
      </c>
      <c r="H66" s="626">
        <f>IF(AVERAGE('RT (CTR)'!$N$6:'RT (CTR)'!$N$29)&lt;&gt;0,'RT (CTR)'!$N$24/AVERAGE('RT (CTR)'!$N$6:'RT (CTR)'!$N$29),0)</f>
        <v>1.4230228413784516</v>
      </c>
      <c r="I66" s="626">
        <f>IF(AVERAGE('RT (CTR)'!$O$6:'RT (CTR)'!$O$29)&lt;&gt;0,'RT (CTR)'!$O$24/AVERAGE('RT (CTR)'!$O$6:'RT (CTR)'!$O$29),0)</f>
        <v>0.9376414266582509</v>
      </c>
      <c r="J66" s="626">
        <f>IF(AVERAGE('RT (CTR)'!$P$6:'RT (CTR)'!$P$29)&lt;&gt;0,'RT (CTR)'!$P$24/AVERAGE('RT (CTR)'!$P$6:'RT (CTR)'!$P$29),0)</f>
        <v>1.0006055389439008</v>
      </c>
      <c r="K66" s="626">
        <f>IF(AVERAGE('RT (CTR)'!$Q$6:'RT (CTR)'!$Q$29)&lt;&gt;0,'RT (CTR)'!$Q$24/AVERAGE('RT (CTR)'!$Q$6:'RT (CTR)'!$Q$29),0)</f>
        <v>4.2466700879641417</v>
      </c>
      <c r="L66" s="626">
        <f>IF(AVERAGE('RT (CTR)'!$I$35:'RT (CTR)'!$I$58)&lt;&gt;0,'RT (CTR)'!$I$53/AVERAGE('RT (CTR)'!$I$35:'RT (CTR)'!$I$58),0)</f>
        <v>1.1030923497783054</v>
      </c>
      <c r="M66" s="626">
        <f>IF(AVERAGE('RT (CTR)'!$J$35:'RT (CTR)'!$J$58)&lt;&gt;0,'RT (CTR)'!$J$53/AVERAGE('RT (CTR)'!$J$35:'RT (CTR)'!$J$58),0)</f>
        <v>1.2012857591251977</v>
      </c>
      <c r="N66" s="626">
        <f>IF(AVERAGE('RT (CTR)'!$K$35:'RT (CTR)'!$K$58)&lt;&gt;0,'RT (CTR)'!$K$53/AVERAGE('RT (CTR)'!$K$35:'RT (CTR)'!$K$58),0)</f>
        <v>0.99552981153814901</v>
      </c>
      <c r="O66" s="626">
        <f>IF(AVERAGE('RT (CTR)'!$L$35:'RT (CTR)'!$L$58)&lt;&gt;0,'RT (CTR)'!$L$53/AVERAGE('RT (CTR)'!$L$35:'RT (CTR)'!$L$58),0)</f>
        <v>1.0073572547614573</v>
      </c>
      <c r="P66" s="626">
        <f>IF(AVERAGE('RT (CTR)'!$H$35:'RT (CTR)'!$H$58)&lt;&gt;0,'RT (CTR)'!$H$53/AVERAGE('RT (CTR)'!$H$35:'RT (CTR)'!$H$58),0)</f>
        <v>1.1752905512835945</v>
      </c>
      <c r="Q66" s="626">
        <f>IF(AVERAGE('RT (CTR)'!$H$64:'RT (CTR)'!$H$87)&lt;&gt;0,'RT (CTR)'!$H$82/AVERAGE('RT (CTR)'!$H$64:'RT (CTR)'!$H$87),0)</f>
        <v>1.1752905512835945</v>
      </c>
    </row>
    <row r="67" spans="1:17" x14ac:dyDescent="0.25">
      <c r="A67" s="625">
        <v>14</v>
      </c>
      <c r="B67" s="626">
        <f>IF(AVERAGE('RT (CTR)'!$H$6:'RT (CTR)'!$H$29)&lt;&gt;0,'RT (CTR)'!$H$25/AVERAGE('RT (CTR)'!$H$6:'RT (CTR)'!$H$29),0)</f>
        <v>0.37730672387185737</v>
      </c>
      <c r="C67" s="626">
        <f>IF(AVERAGE('RT (CTR)'!$I$6:'RT (CTR)'!$I$29)&lt;&gt;0,'RT (CTR)'!$I$25/AVERAGE('RT (CTR)'!$I$6:'RT (CTR)'!$I$29),0)</f>
        <v>0.77837782041161929</v>
      </c>
      <c r="D67" s="626">
        <f>IF(AVERAGE('RT (CTR)'!$J$6:'RT (CTR)'!$J$29)&lt;&gt;0,'RT (CTR)'!$J$25/AVERAGE('RT (CTR)'!$J$6:'RT (CTR)'!$J$29),0)</f>
        <v>0.84989909800259467</v>
      </c>
      <c r="E67" s="626">
        <f>IF(AVERAGE('RT (CTR)'!$K$6:'RT (CTR)'!$K$29)&lt;&gt;0,'RT (CTR)'!$K$25/AVERAGE('RT (CTR)'!$K$6:'RT (CTR)'!$K$29),0)</f>
        <v>1.1592384707666847</v>
      </c>
      <c r="F67" s="626">
        <f>IF(AVERAGE('RT (CTR)'!$L$6:'RT (CTR)'!$L$29)&lt;&gt;0,'RT (CTR)'!$L$25/AVERAGE('RT (CTR)'!$L$6:'RT (CTR)'!$L$29),0)</f>
        <v>0.33904225157572898</v>
      </c>
      <c r="G67" s="626">
        <f>IF(AVERAGE('RT (CTR)'!$M$6:'RT (CTR)'!$M$29)&lt;&gt;0,'RT (CTR)'!$M$25/AVERAGE('RT (CTR)'!$M$6:'RT (CTR)'!$M$29),0)</f>
        <v>0.77853022705489661</v>
      </c>
      <c r="H67" s="626">
        <f>IF(AVERAGE('RT (CTR)'!$N$6:'RT (CTR)'!$N$29)&lt;&gt;0,'RT (CTR)'!$N$25/AVERAGE('RT (CTR)'!$N$6:'RT (CTR)'!$N$29),0)</f>
        <v>1.8036630734097705</v>
      </c>
      <c r="I67" s="626">
        <f>IF(AVERAGE('RT (CTR)'!$O$6:'RT (CTR)'!$O$29)&lt;&gt;0,'RT (CTR)'!$O$25/AVERAGE('RT (CTR)'!$O$6:'RT (CTR)'!$O$29),0)</f>
        <v>0.69766306534928668</v>
      </c>
      <c r="J67" s="626">
        <f>IF(AVERAGE('RT (CTR)'!$P$6:'RT (CTR)'!$P$29)&lt;&gt;0,'RT (CTR)'!$P$25/AVERAGE('RT (CTR)'!$P$6:'RT (CTR)'!$P$29),0)</f>
        <v>0.9301123750399477</v>
      </c>
      <c r="K67" s="626">
        <f>IF(AVERAGE('RT (CTR)'!$Q$6:'RT (CTR)'!$Q$29)&lt;&gt;0,'RT (CTR)'!$Q$25/AVERAGE('RT (CTR)'!$Q$6:'RT (CTR)'!$Q$29),0)</f>
        <v>3.1315981806293727</v>
      </c>
      <c r="L67" s="626">
        <f>IF(AVERAGE('RT (CTR)'!$I$35:'RT (CTR)'!$I$58)&lt;&gt;0,'RT (CTR)'!$I$54/AVERAGE('RT (CTR)'!$I$35:'RT (CTR)'!$I$58),0)</f>
        <v>1.3336921433999178</v>
      </c>
      <c r="M67" s="626">
        <f>IF(AVERAGE('RT (CTR)'!$J$35:'RT (CTR)'!$J$58)&lt;&gt;0,'RT (CTR)'!$J$54/AVERAGE('RT (CTR)'!$J$35:'RT (CTR)'!$J$58),0)</f>
        <v>1.4324850855799909</v>
      </c>
      <c r="N67" s="626">
        <f>IF(AVERAGE('RT (CTR)'!$K$35:'RT (CTR)'!$K$58)&lt;&gt;0,'RT (CTR)'!$K$54/AVERAGE('RT (CTR)'!$K$35:'RT (CTR)'!$K$58),0)</f>
        <v>1.1613336583073193</v>
      </c>
      <c r="O67" s="626">
        <f>IF(AVERAGE('RT (CTR)'!$L$35:'RT (CTR)'!$L$58)&lt;&gt;0,'RT (CTR)'!$L$54/AVERAGE('RT (CTR)'!$L$35:'RT (CTR)'!$L$58),0)</f>
        <v>1.0054373239823164</v>
      </c>
      <c r="P67" s="626">
        <f>IF(AVERAGE('RT (CTR)'!$H$35:'RT (CTR)'!$H$58)&lt;&gt;0,'RT (CTR)'!$H$54/AVERAGE('RT (CTR)'!$H$35:'RT (CTR)'!$H$58),0)</f>
        <v>1.0519185526032673</v>
      </c>
      <c r="Q67" s="626">
        <f>IF(AVERAGE('RT (CTR)'!$H$64:'RT (CTR)'!$H$87)&lt;&gt;0,'RT (CTR)'!$H$83/AVERAGE('RT (CTR)'!$H$64:'RT (CTR)'!$H$87),0)</f>
        <v>1.0519185526032673</v>
      </c>
    </row>
    <row r="68" spans="1:17" x14ac:dyDescent="0.25">
      <c r="A68" s="625">
        <v>15</v>
      </c>
      <c r="B68" s="626">
        <f>IF(AVERAGE('RT (CTR)'!$H$6:'RT (CTR)'!$H$29)&lt;&gt;0,'RT (CTR)'!$H$26/AVERAGE('RT (CTR)'!$H$6:'RT (CTR)'!$H$29),0)</f>
        <v>0.53986510542535926</v>
      </c>
      <c r="C68" s="626">
        <f>IF(AVERAGE('RT (CTR)'!$I$6:'RT (CTR)'!$I$29)&lt;&gt;0,'RT (CTR)'!$I$26/AVERAGE('RT (CTR)'!$I$6:'RT (CTR)'!$I$29),0)</f>
        <v>0.82473213044438887</v>
      </c>
      <c r="D68" s="626">
        <f>IF(AVERAGE('RT (CTR)'!$J$6:'RT (CTR)'!$J$29)&lt;&gt;0,'RT (CTR)'!$J$26/AVERAGE('RT (CTR)'!$J$6:'RT (CTR)'!$J$29),0)</f>
        <v>1.1135138727130918</v>
      </c>
      <c r="E68" s="626">
        <f>IF(AVERAGE('RT (CTR)'!$K$6:'RT (CTR)'!$K$29)&lt;&gt;0,'RT (CTR)'!$K$26/AVERAGE('RT (CTR)'!$K$6:'RT (CTR)'!$K$29),0)</f>
        <v>1.1482056124903623</v>
      </c>
      <c r="F68" s="626">
        <f>IF(AVERAGE('RT (CTR)'!$L$6:'RT (CTR)'!$L$29)&lt;&gt;0,'RT (CTR)'!$L$26/AVERAGE('RT (CTR)'!$L$6:'RT (CTR)'!$L$29),0)</f>
        <v>0.52242383211333265</v>
      </c>
      <c r="G68" s="626">
        <f>IF(AVERAGE('RT (CTR)'!$M$6:'RT (CTR)'!$M$29)&lt;&gt;0,'RT (CTR)'!$M$26/AVERAGE('RT (CTR)'!$M$6:'RT (CTR)'!$M$29),0)</f>
        <v>0.82481510298019667</v>
      </c>
      <c r="H68" s="626">
        <f>IF(AVERAGE('RT (CTR)'!$N$6:'RT (CTR)'!$N$29)&lt;&gt;0,'RT (CTR)'!$N$26/AVERAGE('RT (CTR)'!$N$6:'RT (CTR)'!$N$29),0)</f>
        <v>2.1059324461272544</v>
      </c>
      <c r="I68" s="626">
        <f>IF(AVERAGE('RT (CTR)'!$O$6:'RT (CTR)'!$O$29)&lt;&gt;0,'RT (CTR)'!$O$26/AVERAGE('RT (CTR)'!$O$6:'RT (CTR)'!$O$29),0)</f>
        <v>0.6852867896231053</v>
      </c>
      <c r="J68" s="626">
        <f>IF(AVERAGE('RT (CTR)'!$P$6:'RT (CTR)'!$P$29)&lt;&gt;0,'RT (CTR)'!$P$26/AVERAGE('RT (CTR)'!$P$6:'RT (CTR)'!$P$29),0)</f>
        <v>1.0514457455904744</v>
      </c>
      <c r="K68" s="626">
        <f>IF(AVERAGE('RT (CTR)'!$Q$6:'RT (CTR)'!$Q$29)&lt;&gt;0,'RT (CTR)'!$Q$26/AVERAGE('RT (CTR)'!$Q$6:'RT (CTR)'!$Q$29),0)</f>
        <v>0.47223974957170722</v>
      </c>
      <c r="L68" s="626">
        <f>IF(AVERAGE('RT (CTR)'!$I$35:'RT (CTR)'!$I$58)&lt;&gt;0,'RT (CTR)'!$I$55/AVERAGE('RT (CTR)'!$I$35:'RT (CTR)'!$I$58),0)</f>
        <v>1.4994523155234698</v>
      </c>
      <c r="M68" s="626">
        <f>IF(AVERAGE('RT (CTR)'!$J$35:'RT (CTR)'!$J$58)&lt;&gt;0,'RT (CTR)'!$J$55/AVERAGE('RT (CTR)'!$J$35:'RT (CTR)'!$J$58),0)</f>
        <v>1.6922330498887128</v>
      </c>
      <c r="N68" s="626">
        <f>IF(AVERAGE('RT (CTR)'!$K$35:'RT (CTR)'!$K$58)&lt;&gt;0,'RT (CTR)'!$K$55/AVERAGE('RT (CTR)'!$K$35:'RT (CTR)'!$K$58),0)</f>
        <v>1.3194432535351712</v>
      </c>
      <c r="O68" s="626">
        <f>IF(AVERAGE('RT (CTR)'!$L$35:'RT (CTR)'!$L$58)&lt;&gt;0,'RT (CTR)'!$L$55/AVERAGE('RT (CTR)'!$L$35:'RT (CTR)'!$L$58),0)</f>
        <v>1.0084757638365489</v>
      </c>
      <c r="P68" s="626">
        <f>IF(AVERAGE('RT (CTR)'!$H$35:'RT (CTR)'!$H$58)&lt;&gt;0,'RT (CTR)'!$H$55/AVERAGE('RT (CTR)'!$H$35:'RT (CTR)'!$H$58),0)</f>
        <v>1.238628297502812</v>
      </c>
      <c r="Q68" s="626">
        <f>IF(AVERAGE('RT (CTR)'!$H$64:'RT (CTR)'!$H$87)&lt;&gt;0,'RT (CTR)'!$H$84/AVERAGE('RT (CTR)'!$H$64:'RT (CTR)'!$H$87),0)</f>
        <v>1.238628297502812</v>
      </c>
    </row>
    <row r="69" spans="1:17" x14ac:dyDescent="0.25">
      <c r="A69" s="625">
        <v>16</v>
      </c>
      <c r="B69" s="626">
        <f>IF(AVERAGE('RT (CTR)'!$H$6:'RT (CTR)'!$H$29)&lt;&gt;0,'RT (CTR)'!$H$27/AVERAGE('RT (CTR)'!$H$6:'RT (CTR)'!$H$29),0)</f>
        <v>0.62476029440162184</v>
      </c>
      <c r="C69" s="626">
        <f>IF(AVERAGE('RT (CTR)'!$I$6:'RT (CTR)'!$I$29)&lt;&gt;0,'RT (CTR)'!$I$27/AVERAGE('RT (CTR)'!$I$6:'RT (CTR)'!$I$29),0)</f>
        <v>0.837652644985029</v>
      </c>
      <c r="D69" s="626">
        <f>IF(AVERAGE('RT (CTR)'!$J$6:'RT (CTR)'!$J$29)&lt;&gt;0,'RT (CTR)'!$J$27/AVERAGE('RT (CTR)'!$J$6:'RT (CTR)'!$J$29),0)</f>
        <v>1.2925405968781603</v>
      </c>
      <c r="E69" s="626">
        <f>IF(AVERAGE('RT (CTR)'!$K$6:'RT (CTR)'!$K$29)&lt;&gt;0,'RT (CTR)'!$K$27/AVERAGE('RT (CTR)'!$K$6:'RT (CTR)'!$K$29),0)</f>
        <v>1.1438875142413141</v>
      </c>
      <c r="F69" s="626">
        <f>IF(AVERAGE('RT (CTR)'!$L$6:'RT (CTR)'!$L$29)&lt;&gt;0,'RT (CTR)'!$L$27/AVERAGE('RT (CTR)'!$L$6:'RT (CTR)'!$L$29),0)</f>
        <v>0.6859198561007297</v>
      </c>
      <c r="G69" s="626">
        <f>IF(AVERAGE('RT (CTR)'!$M$6:'RT (CTR)'!$M$29)&lt;&gt;0,'RT (CTR)'!$M$27/AVERAGE('RT (CTR)'!$M$6:'RT (CTR)'!$M$29),0)</f>
        <v>0.87712086887067509</v>
      </c>
      <c r="H69" s="626">
        <f>IF(AVERAGE('RT (CTR)'!$N$6:'RT (CTR)'!$N$29)&lt;&gt;0,'RT (CTR)'!$N$27/AVERAGE('RT (CTR)'!$N$6:'RT (CTR)'!$N$29),0)</f>
        <v>2.021887291501931</v>
      </c>
      <c r="I69" s="626">
        <f>IF(AVERAGE('RT (CTR)'!$O$6:'RT (CTR)'!$O$29)&lt;&gt;0,'RT (CTR)'!$O$27/AVERAGE('RT (CTR)'!$O$6:'RT (CTR)'!$O$29),0)</f>
        <v>0.84363186956971037</v>
      </c>
      <c r="J69" s="626">
        <f>IF(AVERAGE('RT (CTR)'!$P$6:'RT (CTR)'!$P$29)&lt;&gt;0,'RT (CTR)'!$P$27/AVERAGE('RT (CTR)'!$P$6:'RT (CTR)'!$P$29),0)</f>
        <v>1.2825850303709396</v>
      </c>
      <c r="K69" s="626">
        <f>IF(AVERAGE('RT (CTR)'!$Q$6:'RT (CTR)'!$Q$29)&lt;&gt;0,'RT (CTR)'!$Q$27/AVERAGE('RT (CTR)'!$Q$6:'RT (CTR)'!$Q$29),0)</f>
        <v>0.21990075270028078</v>
      </c>
      <c r="L69" s="626">
        <f>IF(AVERAGE('RT (CTR)'!$I$35:'RT (CTR)'!$I$58)&lt;&gt;0,'RT (CTR)'!$I$56/AVERAGE('RT (CTR)'!$I$35:'RT (CTR)'!$I$58),0)</f>
        <v>1.4950311411218764</v>
      </c>
      <c r="M69" s="626">
        <f>IF(AVERAGE('RT (CTR)'!$J$35:'RT (CTR)'!$J$58)&lt;&gt;0,'RT (CTR)'!$J$56/AVERAGE('RT (CTR)'!$J$35:'RT (CTR)'!$J$58),0)</f>
        <v>1.7023145898142098</v>
      </c>
      <c r="N69" s="626">
        <f>IF(AVERAGE('RT (CTR)'!$K$35:'RT (CTR)'!$K$58)&lt;&gt;0,'RT (CTR)'!$K$56/AVERAGE('RT (CTR)'!$K$35:'RT (CTR)'!$K$58),0)</f>
        <v>1.2905174652857014</v>
      </c>
      <c r="O69" s="626">
        <f>IF(AVERAGE('RT (CTR)'!$L$35:'RT (CTR)'!$L$58)&lt;&gt;0,'RT (CTR)'!$L$56/AVERAGE('RT (CTR)'!$L$35:'RT (CTR)'!$L$58),0)</f>
        <v>0.99867479415329286</v>
      </c>
      <c r="P69" s="626">
        <f>IF(AVERAGE('RT (CTR)'!$H$35:'RT (CTR)'!$H$58)&lt;&gt;0,'RT (CTR)'!$H$56/AVERAGE('RT (CTR)'!$H$35:'RT (CTR)'!$H$58),0)</f>
        <v>1.2801939600020111</v>
      </c>
      <c r="Q69" s="626">
        <f>IF(AVERAGE('RT (CTR)'!$H$64:'RT (CTR)'!$H$87)&lt;&gt;0,'RT (CTR)'!$H$85/AVERAGE('RT (CTR)'!$H$64:'RT (CTR)'!$H$87),0)</f>
        <v>1.2801939600020111</v>
      </c>
    </row>
    <row r="70" spans="1:17" x14ac:dyDescent="0.25">
      <c r="A70" s="625">
        <v>17</v>
      </c>
      <c r="B70" s="626">
        <f>IF(AVERAGE('RT (CTR)'!$H$6:'RT (CTR)'!$H$29)&lt;&gt;0,'RT (CTR)'!$H$28/AVERAGE('RT (CTR)'!$H$6:'RT (CTR)'!$H$29),0)</f>
        <v>0.81663524830316681</v>
      </c>
      <c r="C70" s="626">
        <f>IF(AVERAGE('RT (CTR)'!$I$6:'RT (CTR)'!$I$29)&lt;&gt;0,'RT (CTR)'!$I$28/AVERAGE('RT (CTR)'!$I$6:'RT (CTR)'!$I$29),0)</f>
        <v>0.92380755452491037</v>
      </c>
      <c r="D70" s="626">
        <f>IF(AVERAGE('RT (CTR)'!$J$6:'RT (CTR)'!$J$29)&lt;&gt;0,'RT (CTR)'!$J$28/AVERAGE('RT (CTR)'!$J$6:'RT (CTR)'!$J$29),0)</f>
        <v>1.2640187324470753</v>
      </c>
      <c r="E70" s="626">
        <f>IF(AVERAGE('RT (CTR)'!$K$6:'RT (CTR)'!$K$29)&lt;&gt;0,'RT (CTR)'!$K$28/AVERAGE('RT (CTR)'!$K$6:'RT (CTR)'!$K$29),0)</f>
        <v>1.2694129552557349</v>
      </c>
      <c r="F70" s="626">
        <f>IF(AVERAGE('RT (CTR)'!$L$6:'RT (CTR)'!$L$29)&lt;&gt;0,'RT (CTR)'!$L$28/AVERAGE('RT (CTR)'!$L$6:'RT (CTR)'!$L$29),0)</f>
        <v>1.3051220166825666</v>
      </c>
      <c r="G70" s="626">
        <f>IF(AVERAGE('RT (CTR)'!$M$6:'RT (CTR)'!$M$29)&lt;&gt;0,'RT (CTR)'!$M$28/AVERAGE('RT (CTR)'!$M$6:'RT (CTR)'!$M$29),0)</f>
        <v>0.86840575886966831</v>
      </c>
      <c r="H70" s="626">
        <f>IF(AVERAGE('RT (CTR)'!$N$6:'RT (CTR)'!$N$29)&lt;&gt;0,'RT (CTR)'!$N$28/AVERAGE('RT (CTR)'!$N$6:'RT (CTR)'!$N$29),0)</f>
        <v>2.0250166034393415</v>
      </c>
      <c r="I70" s="626">
        <f>IF(AVERAGE('RT (CTR)'!$O$6:'RT (CTR)'!$O$29)&lt;&gt;0,'RT (CTR)'!$O$28/AVERAGE('RT (CTR)'!$O$6:'RT (CTR)'!$O$29),0)</f>
        <v>0.85351441809733386</v>
      </c>
      <c r="J70" s="626">
        <f>IF(AVERAGE('RT (CTR)'!$P$6:'RT (CTR)'!$P$29)&lt;&gt;0,'RT (CTR)'!$P$28/AVERAGE('RT (CTR)'!$P$6:'RT (CTR)'!$P$29),0)</f>
        <v>1.3641841089035873</v>
      </c>
      <c r="K70" s="626">
        <f>IF(AVERAGE('RT (CTR)'!$Q$6:'RT (CTR)'!$Q$29)&lt;&gt;0,'RT (CTR)'!$Q$28/AVERAGE('RT (CTR)'!$Q$6:'RT (CTR)'!$Q$29),0)</f>
        <v>0.26276394249193569</v>
      </c>
      <c r="L70" s="626">
        <f>IF(AVERAGE('RT (CTR)'!$I$35:'RT (CTR)'!$I$58)&lt;&gt;0,'RT (CTR)'!$I$57/AVERAGE('RT (CTR)'!$I$35:'RT (CTR)'!$I$58),0)</f>
        <v>1.4969890927669187</v>
      </c>
      <c r="M70" s="626">
        <f>IF(AVERAGE('RT (CTR)'!$J$35:'RT (CTR)'!$J$58)&lt;&gt;0,'RT (CTR)'!$J$57/AVERAGE('RT (CTR)'!$J$35:'RT (CTR)'!$J$58),0)</f>
        <v>1.69971761878205</v>
      </c>
      <c r="N70" s="626">
        <f>IF(AVERAGE('RT (CTR)'!$K$35:'RT (CTR)'!$K$58)&lt;&gt;0,'RT (CTR)'!$K$57/AVERAGE('RT (CTR)'!$K$35:'RT (CTR)'!$K$58),0)</f>
        <v>1.0694662746672923</v>
      </c>
      <c r="O70" s="626">
        <f>IF(AVERAGE('RT (CTR)'!$L$35:'RT (CTR)'!$L$58)&lt;&gt;0,'RT (CTR)'!$L$57/AVERAGE('RT (CTR)'!$L$35:'RT (CTR)'!$L$58),0)</f>
        <v>0.99220876794633162</v>
      </c>
      <c r="P70" s="626">
        <f>IF(AVERAGE('RT (CTR)'!$H$35:'RT (CTR)'!$H$58)&lt;&gt;0,'RT (CTR)'!$H$57/AVERAGE('RT (CTR)'!$H$35:'RT (CTR)'!$H$58),0)</f>
        <v>1.2206052512578534</v>
      </c>
      <c r="Q70" s="626">
        <f>IF(AVERAGE('RT (CTR)'!$H$64:'RT (CTR)'!$H$87)&lt;&gt;0,'RT (CTR)'!$H$86/AVERAGE('RT (CTR)'!$H$64:'RT (CTR)'!$H$87),0)</f>
        <v>1.2206052512578534</v>
      </c>
    </row>
    <row r="71" spans="1:17" x14ac:dyDescent="0.25">
      <c r="A71" s="625">
        <v>18</v>
      </c>
      <c r="B71" s="626">
        <f>IF(AVERAGE('RT (CTR)'!$H$6:'RT (CTR)'!$H$29)&lt;&gt;0,'RT (CTR)'!$H$29/AVERAGE('RT (CTR)'!$H$6:'RT (CTR)'!$H$29),0)</f>
        <v>1.3306899663622087</v>
      </c>
      <c r="C71" s="626">
        <f>IF(AVERAGE('RT (CTR)'!$I$6:'RT (CTR)'!$I$29)&lt;&gt;0,'RT (CTR)'!$I$29/AVERAGE('RT (CTR)'!$I$6:'RT (CTR)'!$I$29),0)</f>
        <v>1.1010814596842062</v>
      </c>
      <c r="D71" s="626">
        <f>IF(AVERAGE('RT (CTR)'!$J$6:'RT (CTR)'!$J$29)&lt;&gt;0,'RT (CTR)'!$J$29/AVERAGE('RT (CTR)'!$J$6:'RT (CTR)'!$J$29),0)</f>
        <v>1.1561445294329553</v>
      </c>
      <c r="E71" s="626">
        <f>IF(AVERAGE('RT (CTR)'!$K$6:'RT (CTR)'!$K$29)&lt;&gt;0,'RT (CTR)'!$K$29/AVERAGE('RT (CTR)'!$K$6:'RT (CTR)'!$K$29),0)</f>
        <v>1.1636622559382572</v>
      </c>
      <c r="F71" s="626">
        <f>IF(AVERAGE('RT (CTR)'!$L$6:'RT (CTR)'!$L$29)&lt;&gt;0,'RT (CTR)'!$L$29/AVERAGE('RT (CTR)'!$L$6:'RT (CTR)'!$L$29),0)</f>
        <v>1.8442713137453011</v>
      </c>
      <c r="G71" s="626">
        <f>IF(AVERAGE('RT (CTR)'!$M$6:'RT (CTR)'!$M$29)&lt;&gt;0,'RT (CTR)'!$M$29/AVERAGE('RT (CTR)'!$M$6:'RT (CTR)'!$M$29),0)</f>
        <v>1.1213395065230298</v>
      </c>
      <c r="H71" s="626">
        <f>IF(AVERAGE('RT (CTR)'!$N$6:'RT (CTR)'!$N$29)&lt;&gt;0,'RT (CTR)'!$N$29/AVERAGE('RT (CTR)'!$N$6:'RT (CTR)'!$N$29),0)</f>
        <v>1.5730301325274134</v>
      </c>
      <c r="I71" s="626">
        <f>IF(AVERAGE('RT (CTR)'!$O$6:'RT (CTR)'!$O$29)&lt;&gt;0,'RT (CTR)'!$O$29/AVERAGE('RT (CTR)'!$O$6:'RT (CTR)'!$O$29),0)</f>
        <v>0.77436166960973474</v>
      </c>
      <c r="J71" s="626">
        <f>IF(AVERAGE('RT (CTR)'!$P$6:'RT (CTR)'!$P$29)&lt;&gt;0,'RT (CTR)'!$P$29/AVERAGE('RT (CTR)'!$P$6:'RT (CTR)'!$P$29),0)</f>
        <v>1.2804454214590923</v>
      </c>
      <c r="K71" s="626">
        <f>IF(AVERAGE('RT (CTR)'!$Q$6:'RT (CTR)'!$Q$29)&lt;&gt;0,'RT (CTR)'!$Q$29/AVERAGE('RT (CTR)'!$Q$6:'RT (CTR)'!$Q$29),0)</f>
        <v>0.24143099846842789</v>
      </c>
      <c r="L71" s="626">
        <f>IF(AVERAGE('RT (CTR)'!$I$35:'RT (CTR)'!$I$58)&lt;&gt;0,'RT (CTR)'!$I$58/AVERAGE('RT (CTR)'!$I$35:'RT (CTR)'!$I$58),0)</f>
        <v>1.3788211884629835</v>
      </c>
      <c r="M71" s="626">
        <f>IF(AVERAGE('RT (CTR)'!$J$35:'RT (CTR)'!$J$58)&lt;&gt;0,'RT (CTR)'!$J$58/AVERAGE('RT (CTR)'!$J$35:'RT (CTR)'!$J$58),0)</f>
        <v>1.510452407037445</v>
      </c>
      <c r="N71" s="626">
        <f>IF(AVERAGE('RT (CTR)'!$K$35:'RT (CTR)'!$K$58)&lt;&gt;0,'RT (CTR)'!$K$58/AVERAGE('RT (CTR)'!$K$35:'RT (CTR)'!$K$58),0)</f>
        <v>0.93673542874314863</v>
      </c>
      <c r="O71" s="626">
        <f>IF(AVERAGE('RT (CTR)'!$L$35:'RT (CTR)'!$L$58)&lt;&gt;0,'RT (CTR)'!$L$58/AVERAGE('RT (CTR)'!$L$35:'RT (CTR)'!$L$58),0)</f>
        <v>1.0061559865307685</v>
      </c>
      <c r="P71" s="626">
        <f>IF(AVERAGE('RT (CTR)'!$H$35:'RT (CTR)'!$H$58)&lt;&gt;0,'RT (CTR)'!$H$58/AVERAGE('RT (CTR)'!$H$35:'RT (CTR)'!$H$58),0)</f>
        <v>1.35667127923558</v>
      </c>
      <c r="Q71" s="626">
        <f>IF(AVERAGE('RT (CTR)'!$H$64:'RT (CTR)'!$H$87)&lt;&gt;0,'RT (CTR)'!$H$87/AVERAGE('RT (CTR)'!$H$64:'RT (CTR)'!$H$87),0)</f>
        <v>1.35667127923558</v>
      </c>
    </row>
    <row r="72" spans="1:17" x14ac:dyDescent="0.25">
      <c r="A72" s="625">
        <v>19</v>
      </c>
      <c r="B72" s="626">
        <f>IF(AVERAGE('RT (CTR)'!$H$6:'RT (CTR)'!$H$29)&lt;&gt;0,'RT (CTR)'!$H$6/AVERAGE('RT (CTR)'!$H$6:'RT (CTR)'!$H$29),0)</f>
        <v>1.4090208122343886</v>
      </c>
      <c r="C72" s="626">
        <f>IF(AVERAGE('RT (CTR)'!$I$6:'RT (CTR)'!$I$29)&lt;&gt;0,'RT (CTR)'!$I$6/AVERAGE('RT (CTR)'!$I$6:'RT (CTR)'!$I$29),0)</f>
        <v>1.4864168389047578</v>
      </c>
      <c r="D72" s="626">
        <f>IF(AVERAGE('RT (CTR)'!$J$6:'RT (CTR)'!$J$29)&lt;&gt;0,'RT (CTR)'!$J$6/AVERAGE('RT (CTR)'!$J$6:'RT (CTR)'!$J$29),0)</f>
        <v>1.3856624732006373</v>
      </c>
      <c r="E72" s="626">
        <f>IF(AVERAGE('RT (CTR)'!$K$6:'RT (CTR)'!$K$29)&lt;&gt;0,'RT (CTR)'!$K$6/AVERAGE('RT (CTR)'!$K$6:'RT (CTR)'!$K$29),0)</f>
        <v>1.1860078131335545</v>
      </c>
      <c r="F72" s="626">
        <f>IF(AVERAGE('RT (CTR)'!$L$6:'RT (CTR)'!$L$29)&lt;&gt;0,'RT (CTR)'!$L$6/AVERAGE('RT (CTR)'!$L$6:'RT (CTR)'!$L$29),0)</f>
        <v>2.2366695843450626</v>
      </c>
      <c r="G72" s="626">
        <f>IF(AVERAGE('RT (CTR)'!$M$6:'RT (CTR)'!$M$29)&lt;&gt;0,'RT (CTR)'!$M$6/AVERAGE('RT (CTR)'!$M$6:'RT (CTR)'!$M$29),0)</f>
        <v>1.4874710865040552</v>
      </c>
      <c r="H72" s="626">
        <f>IF(AVERAGE('RT (CTR)'!$N$6:'RT (CTR)'!$N$29)&lt;&gt;0,'RT (CTR)'!$N$6/AVERAGE('RT (CTR)'!$N$6:'RT (CTR)'!$N$29),0)</f>
        <v>1.0470346695567103</v>
      </c>
      <c r="I72" s="626">
        <f>IF(AVERAGE('RT (CTR)'!$O$6:'RT (CTR)'!$O$29)&lt;&gt;0,'RT (CTR)'!$O$6/AVERAGE('RT (CTR)'!$O$6:'RT (CTR)'!$O$29),0)</f>
        <v>1.7837274404551158</v>
      </c>
      <c r="J72" s="626">
        <f>IF(AVERAGE('RT (CTR)'!$P$6:'RT (CTR)'!$P$29)&lt;&gt;0,'RT (CTR)'!$P$6/AVERAGE('RT (CTR)'!$P$6:'RT (CTR)'!$P$29),0)</f>
        <v>0.93651980875678864</v>
      </c>
      <c r="K72" s="626">
        <f>IF(AVERAGE('RT (CTR)'!$Q$6:'RT (CTR)'!$Q$29)&lt;&gt;0,'RT (CTR)'!$Q$6/AVERAGE('RT (CTR)'!$Q$6:'RT (CTR)'!$Q$29),0)</f>
        <v>0.56508554949880174</v>
      </c>
      <c r="L72" s="626">
        <f>IF(AVERAGE('RT (CTR)'!$I$35:'RT (CTR)'!$I$58)&lt;&gt;0,'RT (CTR)'!$I$35/AVERAGE('RT (CTR)'!$I$35:'RT (CTR)'!$I$58),0)</f>
        <v>0.96972449896767976</v>
      </c>
      <c r="M72" s="626">
        <f>IF(AVERAGE('RT (CTR)'!$J$35:'RT (CTR)'!$J$58)&lt;&gt;0,'RT (CTR)'!$J$35/AVERAGE('RT (CTR)'!$J$35:'RT (CTR)'!$J$58),0)</f>
        <v>0.73736016578034447</v>
      </c>
      <c r="N72" s="626">
        <f>IF(AVERAGE('RT (CTR)'!$K$35:'RT (CTR)'!$K$58)&lt;&gt;0,'RT (CTR)'!$K$35/AVERAGE('RT (CTR)'!$K$35:'RT (CTR)'!$K$58),0)</f>
        <v>0.91543425937129841</v>
      </c>
      <c r="O72" s="626">
        <f>IF(AVERAGE('RT (CTR)'!$L$35:'RT (CTR)'!$L$58)&lt;&gt;0,'RT (CTR)'!$L$35/AVERAGE('RT (CTR)'!$L$35:'RT (CTR)'!$L$58),0)</f>
        <v>0.68447112171147062</v>
      </c>
      <c r="P72" s="626">
        <f>IF(AVERAGE('RT (CTR)'!$H$35:'RT (CTR)'!$H$58)&lt;&gt;0,'RT (CTR)'!$H$35/AVERAGE('RT (CTR)'!$H$35:'RT (CTR)'!$H$58),0)</f>
        <v>1.6996276685710292</v>
      </c>
      <c r="Q72" s="626">
        <f>IF(AVERAGE('RT (CTR)'!$H$64:'RT (CTR)'!$H$87)&lt;&gt;0,'RT (CTR)'!$H$64/AVERAGE('RT (CTR)'!$H$64:'RT (CTR)'!$H$87),0)</f>
        <v>1.6996276685710292</v>
      </c>
    </row>
    <row r="73" spans="1:17" x14ac:dyDescent="0.25">
      <c r="A73" s="625">
        <v>20</v>
      </c>
      <c r="B73" s="626">
        <f>IF(AVERAGE('RT (CTR)'!$H$6:'RT (CTR)'!$H$29)&lt;&gt;0,'RT (CTR)'!$H$7/AVERAGE('RT (CTR)'!$H$6:'RT (CTR)'!$H$29),0)</f>
        <v>1.8697462777418252</v>
      </c>
      <c r="C73" s="626">
        <f>IF(AVERAGE('RT (CTR)'!$I$6:'RT (CTR)'!$I$29)&lt;&gt;0,'RT (CTR)'!$I$7/AVERAGE('RT (CTR)'!$I$6:'RT (CTR)'!$I$29),0)</f>
        <v>1.9427372539163346</v>
      </c>
      <c r="D73" s="626">
        <f>IF(AVERAGE('RT (CTR)'!$J$6:'RT (CTR)'!$J$29)&lt;&gt;0,'RT (CTR)'!$J$7/AVERAGE('RT (CTR)'!$J$6:'RT (CTR)'!$J$29),0)</f>
        <v>1.871595650546823</v>
      </c>
      <c r="E73" s="626">
        <f>IF(AVERAGE('RT (CTR)'!$K$6:'RT (CTR)'!$K$29)&lt;&gt;0,'RT (CTR)'!$K$7/AVERAGE('RT (CTR)'!$K$6:'RT (CTR)'!$K$29),0)</f>
        <v>1.3065972154622563</v>
      </c>
      <c r="F73" s="626">
        <f>IF(AVERAGE('RT (CTR)'!$L$6:'RT (CTR)'!$L$29)&lt;&gt;0,'RT (CTR)'!$L$7/AVERAGE('RT (CTR)'!$L$6:'RT (CTR)'!$L$29),0)</f>
        <v>2.2863702214732342</v>
      </c>
      <c r="G73" s="626">
        <f>IF(AVERAGE('RT (CTR)'!$M$6:'RT (CTR)'!$M$29)&lt;&gt;0,'RT (CTR)'!$M$7/AVERAGE('RT (CTR)'!$M$6:'RT (CTR)'!$M$29),0)</f>
        <v>1.682985050652718</v>
      </c>
      <c r="H73" s="626">
        <f>IF(AVERAGE('RT (CTR)'!$N$6:'RT (CTR)'!$N$29)&lt;&gt;0,'RT (CTR)'!$N$7/AVERAGE('RT (CTR)'!$N$6:'RT (CTR)'!$N$29),0)</f>
        <v>0.97586812734400452</v>
      </c>
      <c r="I73" s="626">
        <f>IF(AVERAGE('RT (CTR)'!$O$6:'RT (CTR)'!$O$29)&lt;&gt;0,'RT (CTR)'!$O$7/AVERAGE('RT (CTR)'!$O$6:'RT (CTR)'!$O$29),0)</f>
        <v>1.885152207520324</v>
      </c>
      <c r="J73" s="626">
        <f>IF(AVERAGE('RT (CTR)'!$P$6:'RT (CTR)'!$P$29)&lt;&gt;0,'RT (CTR)'!$P$7/AVERAGE('RT (CTR)'!$P$6:'RT (CTR)'!$P$29),0)</f>
        <v>1.321888666281962</v>
      </c>
      <c r="K73" s="626">
        <f>IF(AVERAGE('RT (CTR)'!$Q$6:'RT (CTR)'!$Q$29)&lt;&gt;0,'RT (CTR)'!$Q$7/AVERAGE('RT (CTR)'!$Q$6:'RT (CTR)'!$Q$29),0)</f>
        <v>0.8882084433645463</v>
      </c>
      <c r="L73" s="626">
        <f>IF(AVERAGE('RT (CTR)'!$I$35:'RT (CTR)'!$I$58)&lt;&gt;0,'RT (CTR)'!$I$36/AVERAGE('RT (CTR)'!$I$35:'RT (CTR)'!$I$58),0)</f>
        <v>0.94095367860626167</v>
      </c>
      <c r="M73" s="626">
        <f>IF(AVERAGE('RT (CTR)'!$J$35:'RT (CTR)'!$J$58)&lt;&gt;0,'RT (CTR)'!$J$36/AVERAGE('RT (CTR)'!$J$35:'RT (CTR)'!$J$58),0)</f>
        <v>0.60815507782236111</v>
      </c>
      <c r="N73" s="626">
        <f>IF(AVERAGE('RT (CTR)'!$K$35:'RT (CTR)'!$K$58)&lt;&gt;0,'RT (CTR)'!$K$36/AVERAGE('RT (CTR)'!$K$35:'RT (CTR)'!$K$58),0)</f>
        <v>0.93926236649757178</v>
      </c>
      <c r="O73" s="626">
        <f>IF(AVERAGE('RT (CTR)'!$L$35:'RT (CTR)'!$L$58)&lt;&gt;0,'RT (CTR)'!$L$36/AVERAGE('RT (CTR)'!$L$35:'RT (CTR)'!$L$58),0)</f>
        <v>0.99936050829795464</v>
      </c>
      <c r="P73" s="626">
        <f>IF(AVERAGE('RT (CTR)'!$H$35:'RT (CTR)'!$H$58)&lt;&gt;0,'RT (CTR)'!$H$36/AVERAGE('RT (CTR)'!$H$35:'RT (CTR)'!$H$58),0)</f>
        <v>1.8427497087071989</v>
      </c>
      <c r="Q73" s="626">
        <f>IF(AVERAGE('RT (CTR)'!$H$64:'RT (CTR)'!$H$87)&lt;&gt;0,'RT (CTR)'!$H$65/AVERAGE('RT (CTR)'!$H$64:'RT (CTR)'!$H$87),0)</f>
        <v>1.8427497087071989</v>
      </c>
    </row>
    <row r="74" spans="1:17" x14ac:dyDescent="0.25">
      <c r="A74" s="625">
        <v>21</v>
      </c>
      <c r="B74" s="626">
        <f>IF(AVERAGE('RT (CTR)'!$H$6:'RT (CTR)'!$H$29)&lt;&gt;0,'RT (CTR)'!$H$8/AVERAGE('RT (CTR)'!$H$6:'RT (CTR)'!$H$29),0)</f>
        <v>1.8471527535033216</v>
      </c>
      <c r="C74" s="626">
        <f>IF(AVERAGE('RT (CTR)'!$I$6:'RT (CTR)'!$I$29)&lt;&gt;0,'RT (CTR)'!$I$8/AVERAGE('RT (CTR)'!$I$6:'RT (CTR)'!$I$29),0)</f>
        <v>1.9508646196376436</v>
      </c>
      <c r="D74" s="626">
        <f>IF(AVERAGE('RT (CTR)'!$J$6:'RT (CTR)'!$J$29)&lt;&gt;0,'RT (CTR)'!$J$8/AVERAGE('RT (CTR)'!$J$6:'RT (CTR)'!$J$29),0)</f>
        <v>1.5673175457556507</v>
      </c>
      <c r="E74" s="626">
        <f>IF(AVERAGE('RT (CTR)'!$K$6:'RT (CTR)'!$K$29)&lt;&gt;0,'RT (CTR)'!$K$8/AVERAGE('RT (CTR)'!$K$6:'RT (CTR)'!$K$29),0)</f>
        <v>1.2734323688994467</v>
      </c>
      <c r="F74" s="626">
        <f>IF(AVERAGE('RT (CTR)'!$L$6:'RT (CTR)'!$L$29)&lt;&gt;0,'RT (CTR)'!$L$8/AVERAGE('RT (CTR)'!$L$6:'RT (CTR)'!$L$29),0)</f>
        <v>2.3685144657029822</v>
      </c>
      <c r="G74" s="626">
        <f>IF(AVERAGE('RT (CTR)'!$M$6:'RT (CTR)'!$M$29)&lt;&gt;0,'RT (CTR)'!$M$8/AVERAGE('RT (CTR)'!$M$6:'RT (CTR)'!$M$29),0)</f>
        <v>1.6290940856338452</v>
      </c>
      <c r="H74" s="626">
        <f>IF(AVERAGE('RT (CTR)'!$N$6:'RT (CTR)'!$N$29)&lt;&gt;0,'RT (CTR)'!$N$8/AVERAGE('RT (CTR)'!$N$6:'RT (CTR)'!$N$29),0)</f>
        <v>0.65122041855589496</v>
      </c>
      <c r="I74" s="626">
        <f>IF(AVERAGE('RT (CTR)'!$O$6:'RT (CTR)'!$O$29)&lt;&gt;0,'RT (CTR)'!$O$8/AVERAGE('RT (CTR)'!$O$6:'RT (CTR)'!$O$29),0)</f>
        <v>1.8950479503717519</v>
      </c>
      <c r="J74" s="626">
        <f>IF(AVERAGE('RT (CTR)'!$P$6:'RT (CTR)'!$P$29)&lt;&gt;0,'RT (CTR)'!$P$8/AVERAGE('RT (CTR)'!$P$6:'RT (CTR)'!$P$29),0)</f>
        <v>1.4103281132420489</v>
      </c>
      <c r="K74" s="626">
        <f>IF(AVERAGE('RT (CTR)'!$Q$6:'RT (CTR)'!$Q$29)&lt;&gt;0,'RT (CTR)'!$Q$8/AVERAGE('RT (CTR)'!$Q$6:'RT (CTR)'!$Q$29),0)</f>
        <v>0.77404668424198886</v>
      </c>
      <c r="L74" s="626">
        <f>IF(AVERAGE('RT (CTR)'!$I$35:'RT (CTR)'!$I$58)&lt;&gt;0,'RT (CTR)'!$I$37/AVERAGE('RT (CTR)'!$I$35:'RT (CTR)'!$I$58),0)</f>
        <v>0.92983041243007825</v>
      </c>
      <c r="M74" s="626">
        <f>IF(AVERAGE('RT (CTR)'!$J$35:'RT (CTR)'!$J$58)&lt;&gt;0,'RT (CTR)'!$J$37/AVERAGE('RT (CTR)'!$J$35:'RT (CTR)'!$J$58),0)</f>
        <v>0.53359255077720502</v>
      </c>
      <c r="N74" s="626">
        <f>IF(AVERAGE('RT (CTR)'!$K$35:'RT (CTR)'!$K$58)&lt;&gt;0,'RT (CTR)'!$K$37/AVERAGE('RT (CTR)'!$K$35:'RT (CTR)'!$K$58),0)</f>
        <v>0.89012504443122242</v>
      </c>
      <c r="O74" s="626">
        <f>IF(AVERAGE('RT (CTR)'!$L$35:'RT (CTR)'!$L$58)&lt;&gt;0,'RT (CTR)'!$L$37/AVERAGE('RT (CTR)'!$L$35:'RT (CTR)'!$L$58),0)</f>
        <v>0.95669348582623037</v>
      </c>
      <c r="P74" s="626">
        <f>IF(AVERAGE('RT (CTR)'!$H$35:'RT (CTR)'!$H$58)&lt;&gt;0,'RT (CTR)'!$H$37/AVERAGE('RT (CTR)'!$H$35:'RT (CTR)'!$H$58),0)</f>
        <v>1.5347781123331872</v>
      </c>
      <c r="Q74" s="626">
        <f>IF(AVERAGE('RT (CTR)'!$H$64:'RT (CTR)'!$H$87)&lt;&gt;0,'RT (CTR)'!$H$66/AVERAGE('RT (CTR)'!$H$64:'RT (CTR)'!$H$87),0)</f>
        <v>1.5347781123331872</v>
      </c>
    </row>
    <row r="75" spans="1:17" x14ac:dyDescent="0.25">
      <c r="A75" s="625">
        <v>22</v>
      </c>
      <c r="B75" s="626">
        <f>IF(AVERAGE('RT (CTR)'!$H$6:'RT (CTR)'!$H$29)&lt;&gt;0,'RT (CTR)'!$H$9/AVERAGE('RT (CTR)'!$H$6:'RT (CTR)'!$H$29),0)</f>
        <v>1.8709726582797082</v>
      </c>
      <c r="C75" s="626">
        <f>IF(AVERAGE('RT (CTR)'!$I$6:'RT (CTR)'!$I$29)&lt;&gt;0,'RT (CTR)'!$I$9/AVERAGE('RT (CTR)'!$I$6:'RT (CTR)'!$I$29),0)</f>
        <v>1.5294148702433812</v>
      </c>
      <c r="D75" s="626">
        <f>IF(AVERAGE('RT (CTR)'!$J$6:'RT (CTR)'!$J$29)&lt;&gt;0,'RT (CTR)'!$J$9/AVERAGE('RT (CTR)'!$J$6:'RT (CTR)'!$J$29),0)</f>
        <v>1.3728774731481772</v>
      </c>
      <c r="E75" s="626">
        <f>IF(AVERAGE('RT (CTR)'!$K$6:'RT (CTR)'!$K$29)&lt;&gt;0,'RT (CTR)'!$K$9/AVERAGE('RT (CTR)'!$K$6:'RT (CTR)'!$K$29),0)</f>
        <v>1.1149792081831067</v>
      </c>
      <c r="F75" s="626">
        <f>IF(AVERAGE('RT (CTR)'!$L$6:'RT (CTR)'!$L$29)&lt;&gt;0,'RT (CTR)'!$L$9/AVERAGE('RT (CTR)'!$L$6:'RT (CTR)'!$L$29),0)</f>
        <v>1.8706919118222787</v>
      </c>
      <c r="G75" s="626">
        <f>IF(AVERAGE('RT (CTR)'!$M$6:'RT (CTR)'!$M$29)&lt;&gt;0,'RT (CTR)'!$M$9/AVERAGE('RT (CTR)'!$M$6:'RT (CTR)'!$M$29),0)</f>
        <v>1.5363877949627875</v>
      </c>
      <c r="H75" s="626">
        <f>IF(AVERAGE('RT (CTR)'!$N$6:'RT (CTR)'!$N$29)&lt;&gt;0,'RT (CTR)'!$N$9/AVERAGE('RT (CTR)'!$N$6:'RT (CTR)'!$N$29),0)</f>
        <v>0.60934399136087358</v>
      </c>
      <c r="I75" s="626">
        <f>IF(AVERAGE('RT (CTR)'!$O$6:'RT (CTR)'!$O$29)&lt;&gt;0,'RT (CTR)'!$O$9/AVERAGE('RT (CTR)'!$O$6:'RT (CTR)'!$O$29),0)</f>
        <v>1.7837274404551158</v>
      </c>
      <c r="J75" s="626">
        <f>IF(AVERAGE('RT (CTR)'!$P$6:'RT (CTR)'!$P$29)&lt;&gt;0,'RT (CTR)'!$P$9/AVERAGE('RT (CTR)'!$P$6:'RT (CTR)'!$P$29),0)</f>
        <v>1.3214602887788454</v>
      </c>
      <c r="K75" s="626">
        <f>IF(AVERAGE('RT (CTR)'!$Q$6:'RT (CTR)'!$Q$29)&lt;&gt;0,'RT (CTR)'!$Q$9/AVERAGE('RT (CTR)'!$Q$6:'RT (CTR)'!$Q$29),0)</f>
        <v>0.8182335155700885</v>
      </c>
      <c r="L75" s="626">
        <f>IF(AVERAGE('RT (CTR)'!$I$35:'RT (CTR)'!$I$58)&lt;&gt;0,'RT (CTR)'!$I$38/AVERAGE('RT (CTR)'!$I$35:'RT (CTR)'!$I$58),0)</f>
        <v>0.8797858034211723</v>
      </c>
      <c r="M75" s="626">
        <f>IF(AVERAGE('RT (CTR)'!$J$35:'RT (CTR)'!$J$58)&lt;&gt;0,'RT (CTR)'!$J$38/AVERAGE('RT (CTR)'!$J$35:'RT (CTR)'!$J$58),0)</f>
        <v>0.63661213112070736</v>
      </c>
      <c r="N75" s="626">
        <f>IF(AVERAGE('RT (CTR)'!$K$35:'RT (CTR)'!$K$58)&lt;&gt;0,'RT (CTR)'!$K$38/AVERAGE('RT (CTR)'!$K$35:'RT (CTR)'!$K$58),0)</f>
        <v>0.83628168940588909</v>
      </c>
      <c r="O75" s="626">
        <f>IF(AVERAGE('RT (CTR)'!$L$35:'RT (CTR)'!$L$58)&lt;&gt;0,'RT (CTR)'!$L$38/AVERAGE('RT (CTR)'!$L$35:'RT (CTR)'!$L$58),0)</f>
        <v>0.9284299016879034</v>
      </c>
      <c r="P75" s="626">
        <f>IF(AVERAGE('RT (CTR)'!$H$35:'RT (CTR)'!$H$58)&lt;&gt;0,'RT (CTR)'!$H$38/AVERAGE('RT (CTR)'!$H$35:'RT (CTR)'!$H$58),0)</f>
        <v>1.2319221220143277</v>
      </c>
      <c r="Q75" s="626">
        <f>IF(AVERAGE('RT (CTR)'!$H$64:'RT (CTR)'!$H$87)&lt;&gt;0,'RT (CTR)'!$H$67/AVERAGE('RT (CTR)'!$H$64:'RT (CTR)'!$H$87),0)</f>
        <v>1.2319221220143277</v>
      </c>
    </row>
    <row r="76" spans="1:17" x14ac:dyDescent="0.25">
      <c r="A76" s="625">
        <v>23</v>
      </c>
      <c r="B76" s="626">
        <f>IF(AVERAGE('RT (CTR)'!$H$6:'RT (CTR)'!$H$29)&lt;&gt;0,'RT (CTR)'!$H$10/AVERAGE('RT (CTR)'!$H$6:'RT (CTR)'!$H$29),0)</f>
        <v>1.6513014655900737</v>
      </c>
      <c r="C76" s="626">
        <f>IF(AVERAGE('RT (CTR)'!$I$6:'RT (CTR)'!$I$29)&lt;&gt;0,'RT (CTR)'!$I$10/AVERAGE('RT (CTR)'!$I$6:'RT (CTR)'!$I$29),0)</f>
        <v>1.3522721114517107</v>
      </c>
      <c r="D76" s="626">
        <f>IF(AVERAGE('RT (CTR)'!$J$6:'RT (CTR)'!$J$29)&lt;&gt;0,'RT (CTR)'!$J$10/AVERAGE('RT (CTR)'!$J$6:'RT (CTR)'!$J$29),0)</f>
        <v>0.94366975493230587</v>
      </c>
      <c r="E76" s="626">
        <f>IF(AVERAGE('RT (CTR)'!$K$6:'RT (CTR)'!$K$29)&lt;&gt;0,'RT (CTR)'!$K$10/AVERAGE('RT (CTR)'!$K$6:'RT (CTR)'!$K$29),0)</f>
        <v>0.99117075084252115</v>
      </c>
      <c r="F76" s="626">
        <f>IF(AVERAGE('RT (CTR)'!$L$6:'RT (CTR)'!$L$29)&lt;&gt;0,'RT (CTR)'!$L$10/AVERAGE('RT (CTR)'!$L$6:'RT (CTR)'!$L$29),0)</f>
        <v>1.4641715894859606</v>
      </c>
      <c r="G76" s="626">
        <f>IF(AVERAGE('RT (CTR)'!$M$6:'RT (CTR)'!$M$29)&lt;&gt;0,'RT (CTR)'!$M$10/AVERAGE('RT (CTR)'!$M$6:'RT (CTR)'!$M$29),0)</f>
        <v>1.4046579717512877</v>
      </c>
      <c r="H76" s="626">
        <f>IF(AVERAGE('RT (CTR)'!$N$6:'RT (CTR)'!$N$29)&lt;&gt;0,'RT (CTR)'!$N$10/AVERAGE('RT (CTR)'!$N$6:'RT (CTR)'!$N$29),0)</f>
        <v>0.57887937321176886</v>
      </c>
      <c r="I76" s="626">
        <f>IF(AVERAGE('RT (CTR)'!$O$6:'RT (CTR)'!$O$29)&lt;&gt;0,'RT (CTR)'!$O$10/AVERAGE('RT (CTR)'!$O$6:'RT (CTR)'!$O$29),0)</f>
        <v>1.7144572404951399</v>
      </c>
      <c r="J76" s="626">
        <f>IF(AVERAGE('RT (CTR)'!$P$6:'RT (CTR)'!$P$29)&lt;&gt;0,'RT (CTR)'!$P$10/AVERAGE('RT (CTR)'!$P$6:'RT (CTR)'!$P$29),0)</f>
        <v>1.2441313136549328</v>
      </c>
      <c r="K76" s="626">
        <f>IF(AVERAGE('RT (CTR)'!$Q$6:'RT (CTR)'!$Q$29)&lt;&gt;0,'RT (CTR)'!$Q$10/AVERAGE('RT (CTR)'!$Q$6:'RT (CTR)'!$Q$29),0)</f>
        <v>1.0453142571518992</v>
      </c>
      <c r="L76" s="626">
        <f>IF(AVERAGE('RT (CTR)'!$I$35:'RT (CTR)'!$I$58)&lt;&gt;0,'RT (CTR)'!$I$39/AVERAGE('RT (CTR)'!$I$35:'RT (CTR)'!$I$58),0)</f>
        <v>0.83762961470851216</v>
      </c>
      <c r="M76" s="626">
        <f>IF(AVERAGE('RT (CTR)'!$J$35:'RT (CTR)'!$J$58)&lt;&gt;0,'RT (CTR)'!$J$39/AVERAGE('RT (CTR)'!$J$35:'RT (CTR)'!$J$58),0)</f>
        <v>0.66562874703015396</v>
      </c>
      <c r="N76" s="626">
        <f>IF(AVERAGE('RT (CTR)'!$K$35:'RT (CTR)'!$K$58)&lt;&gt;0,'RT (CTR)'!$K$39/AVERAGE('RT (CTR)'!$K$35:'RT (CTR)'!$K$58),0)</f>
        <v>0.81116502360356391</v>
      </c>
      <c r="O76" s="626">
        <f>IF(AVERAGE('RT (CTR)'!$L$35:'RT (CTR)'!$L$58)&lt;&gt;0,'RT (CTR)'!$L$39/AVERAGE('RT (CTR)'!$L$35:'RT (CTR)'!$L$58),0)</f>
        <v>0.89694087129472</v>
      </c>
      <c r="P76" s="626">
        <f>IF(AVERAGE('RT (CTR)'!$H$35:'RT (CTR)'!$H$58)&lt;&gt;0,'RT (CTR)'!$H$39/AVERAGE('RT (CTR)'!$H$35:'RT (CTR)'!$H$58),0)</f>
        <v>1.0248767159764014</v>
      </c>
      <c r="Q76" s="626">
        <f>IF(AVERAGE('RT (CTR)'!$H$64:'RT (CTR)'!$H$87)&lt;&gt;0,'RT (CTR)'!$H$68/AVERAGE('RT (CTR)'!$H$64:'RT (CTR)'!$H$87),0)</f>
        <v>1.0248767159764014</v>
      </c>
    </row>
    <row r="77" spans="1:17" x14ac:dyDescent="0.25">
      <c r="A77" s="625">
        <v>24</v>
      </c>
      <c r="B77" s="626">
        <f>IF(AVERAGE('RT (CTR)'!$H$6:'RT (CTR)'!$H$29)&lt;&gt;0,'RT (CTR)'!$H$11/AVERAGE('RT (CTR)'!$H$6:'RT (CTR)'!$H$29),0)</f>
        <v>1.4342803591801934</v>
      </c>
      <c r="C77" s="626">
        <f>IF(AVERAGE('RT (CTR)'!$I$6:'RT (CTR)'!$I$29)&lt;&gt;0,'RT (CTR)'!$I$11/AVERAGE('RT (CTR)'!$I$6:'RT (CTR)'!$I$29),0)</f>
        <v>1.090928810340706</v>
      </c>
      <c r="D77" s="626">
        <f>IF(AVERAGE('RT (CTR)'!$J$6:'RT (CTR)'!$J$29)&lt;&gt;0,'RT (CTR)'!$J$11/AVERAGE('RT (CTR)'!$J$6:'RT (CTR)'!$J$29),0)</f>
        <v>0.89252275978329698</v>
      </c>
      <c r="E77" s="626">
        <f>IF(AVERAGE('RT (CTR)'!$K$6:'RT (CTR)'!$K$29)&lt;&gt;0,'RT (CTR)'!$K$11/AVERAGE('RT (CTR)'!$K$6:'RT (CTR)'!$K$29),0)</f>
        <v>0.83205925092035826</v>
      </c>
      <c r="F77" s="626">
        <f>IF(AVERAGE('RT (CTR)'!$L$6:'RT (CTR)'!$L$29)&lt;&gt;0,'RT (CTR)'!$L$11/AVERAGE('RT (CTR)'!$L$6:'RT (CTR)'!$L$29),0)</f>
        <v>1.1552262456420139</v>
      </c>
      <c r="G77" s="626">
        <f>IF(AVERAGE('RT (CTR)'!$M$6:'RT (CTR)'!$M$29)&lt;&gt;0,'RT (CTR)'!$M$11/AVERAGE('RT (CTR)'!$M$6:'RT (CTR)'!$M$29),0)</f>
        <v>1.0038467696687938</v>
      </c>
      <c r="H77" s="626">
        <f>IF(AVERAGE('RT (CTR)'!$N$6:'RT (CTR)'!$N$29)&lt;&gt;0,'RT (CTR)'!$N$11/AVERAGE('RT (CTR)'!$N$6:'RT (CTR)'!$N$29),0)</f>
        <v>0.3680767940468278</v>
      </c>
      <c r="I77" s="626">
        <f>IF(AVERAGE('RT (CTR)'!$O$6:'RT (CTR)'!$O$29)&lt;&gt;0,'RT (CTR)'!$O$11/AVERAGE('RT (CTR)'!$O$6:'RT (CTR)'!$O$29),0)</f>
        <v>1.4423111177571419</v>
      </c>
      <c r="J77" s="626">
        <f>IF(AVERAGE('RT (CTR)'!$P$6:'RT (CTR)'!$P$29)&lt;&gt;0,'RT (CTR)'!$P$11/AVERAGE('RT (CTR)'!$P$6:'RT (CTR)'!$P$29),0)</f>
        <v>0.99932496364202861</v>
      </c>
      <c r="K77" s="626">
        <f>IF(AVERAGE('RT (CTR)'!$Q$6:'RT (CTR)'!$Q$29)&lt;&gt;0,'RT (CTR)'!$Q$11/AVERAGE('RT (CTR)'!$Q$6:'RT (CTR)'!$Q$29),0)</f>
        <v>0.86457709959135742</v>
      </c>
      <c r="L77" s="626">
        <f>IF(AVERAGE('RT (CTR)'!$I$35:'RT (CTR)'!$I$58)&lt;&gt;0,'RT (CTR)'!$I$40/AVERAGE('RT (CTR)'!$I$35:'RT (CTR)'!$I$58),0)</f>
        <v>0.79028872152782637</v>
      </c>
      <c r="M77" s="626">
        <f>IF(AVERAGE('RT (CTR)'!$J$35:'RT (CTR)'!$J$58)&lt;&gt;0,'RT (CTR)'!$J$40/AVERAGE('RT (CTR)'!$J$35:'RT (CTR)'!$J$58),0)</f>
        <v>0.64446842410988481</v>
      </c>
      <c r="N77" s="626">
        <f>IF(AVERAGE('RT (CTR)'!$K$35:'RT (CTR)'!$K$58)&lt;&gt;0,'RT (CTR)'!$K$40/AVERAGE('RT (CTR)'!$K$35:'RT (CTR)'!$K$58),0)</f>
        <v>0.76797195319025813</v>
      </c>
      <c r="O77" s="626">
        <f>IF(AVERAGE('RT (CTR)'!$L$35:'RT (CTR)'!$L$58)&lt;&gt;0,'RT (CTR)'!$L$40/AVERAGE('RT (CTR)'!$L$35:'RT (CTR)'!$L$58),0)</f>
        <v>0.55132613881251602</v>
      </c>
      <c r="P77" s="626">
        <f>IF(AVERAGE('RT (CTR)'!$H$35:'RT (CTR)'!$H$58)&lt;&gt;0,'RT (CTR)'!$H$40/AVERAGE('RT (CTR)'!$H$35:'RT (CTR)'!$H$58),0)</f>
        <v>0.79236109267603971</v>
      </c>
      <c r="Q77" s="626">
        <f>IF(AVERAGE('RT (CTR)'!$H$64:'RT (CTR)'!$H$87)&lt;&gt;0,'RT (CTR)'!$H$69/AVERAGE('RT (CTR)'!$H$64:'RT (CTR)'!$H$87),0)</f>
        <v>0.79236109267603971</v>
      </c>
    </row>
    <row r="79" spans="1:17" x14ac:dyDescent="0.25">
      <c r="A79" s="625" t="s">
        <v>617</v>
      </c>
      <c r="B79" s="626">
        <f>((+(($B$54-$B$28)^2)+(($B$55-$B$29)^2)+(($B$56-$B$30)^2)+(($B$57-$B$31)^2)+(($B$58-$B$32)^2)+(($B$59-$B$33)^2)+(($B$60-$B$34)^2)+(($B$61-$B$35)^2)+(($B$62-$B$36)^2)+(($B$63-$B$37)^2)+(($B$64-$B$38)^2)+(($B$65-$B$39)^2)+(($B$66-$B$40)^2)+(($B$67-$B$41)^2)+(($B$68-$B$42)^2)+(($B$69-$B$43)^2)+(($B$70-$B$44)^2)+(($B$71-$B$45)^2)+(($B$72-$B$46)^2)+(($B$73-$B$47)^2)+(($B$74-$B$48)^2)+(($B$75-$B$49)^2)+(($B$76-$B$50)^2)+(($B$77-$B$51)^2))^0.5)/24</f>
        <v>2.6058755891953663E-2</v>
      </c>
      <c r="C79" s="626">
        <f>((+(($C$54-$C$28)^2)+(($C$55-$C$29)^2)+(($C$56-$C$30)^2)+(($C$57-$C$31)^2)+(($C$58-$C$32)^2)+(($C$59-$C$33)^2)+(($C$60-$C$34)^2)+(($C$61-$C$35)^2)+(($C$62-$C$36)^2)+(($C$63-$C$37)^2)+(($C$64-$C$38)^2)+(($C$65-$C$39)^2)+(($C$66-$C$40)^2)+(($C$67-$C$41)^2)+(($C$68-$C$42)^2)+(($C$69-$C$43)^2)+(($C$70-$C$44)^2)+(($C$71-$C$45)^2)+(($C$72-$C$46)^2)+(($C$73-$C$47)^2)+(($C$74-$C$48)^2)+(($C$75-$C$49)^2)+(($C$76-$C$50)^2)+(($C$77-$C$51)^2))^0.5)/24</f>
        <v>3.5455557127468978E-2</v>
      </c>
      <c r="D79" s="626">
        <f>((+(($D$54-$D$28)^2)+(($D$55-$D$29)^2)+(($D$56-$D$30)^2)+(($D$57-$D$31)^2)+(($D$58-$D$32)^2)+(($D$59-$D$33)^2)+(($D$60-$D$34)^2)+(($D$61-$D$35)^2)+(($D$62-$D$36)^2)+(($D$63-$D$37)^2)+(($D$64-$D$38)^2)+(($D$65-$D$39)^2)+(($D$66-$D$40)^2)+(($D$67-$D$41)^2)+(($D$68-$D$42)^2)+(($D$69-$D$43)^2)+(($D$70-$D$44)^2)+(($D$71-$D$45)^2)+(($D$72-$D$46)^2)+(($D$73-$D$47)^2)+(($D$74-$D$48)^2)+(($D$75-$D$49)^2)+(($D$76-$D$50)^2)+(($D$77-$D$51)^2))^0.5)/24</f>
        <v>1.5606274347855761E-2</v>
      </c>
      <c r="E79" s="626">
        <f>((+(($E$54-$E$28)^2)+(($E$55-$E$29)^2)+(($E$56-$E$30)^2)+(($E$57-$E$31)^2)+(($E$58-$E$32)^2)+(($E$59-$E$33)^2)+(($E$60-$E$34)^2)+(($E$61-$E$35)^2)+(($E$62-$E$36)^2)+(($E$63-$E$37)^2)+(($E$64-$E$38)^2)+(($E$65-$E$39)^2)+(($E$66-$E$40)^2)+(($E$67-$E$41)^2)+(($E$68-$E$42)^2)+(($E$69-$E$43)^2)+(($E$70-$E$44)^2)+(($E$71-$E$45)^2)+(($E$72-$E$46)^2)+(($E$73-$E$47)^2)+(($E$74-$E$48)^2)+(($E$75-$E$49)^2)+(($E$76-$E$50)^2)+(($E$77-$E$51)^2))^0.5)/24</f>
        <v>1.1608692727289044E-2</v>
      </c>
      <c r="F79" s="626">
        <f>((+(($F$54-$F$28)^2)+(($F$55-$F$29)^2)+(($F$56-$F$30)^2)+(($F$57-$F$31)^2)+(($F$58-$F$32)^2)+(($F$59-$F$33)^2)+(($F$60-$F$34)^2)+(($F$61-$F$35)^2)+(($F$62-$F$36)^2)+(($F$63-$F$37)^2)+(($F$64-$F$38)^2)+(($F$65-$F$39)^2)+(($F$66-$F$40)^2)+(($F$67-$F$41)^2)+(($F$68-$F$42)^2)+(($F$69-$F$43)^2)+(($F$70-$F$44)^2)+(($F$71-$F$45)^2)+(($F$72-$F$46)^2)+(($F$73-$F$47)^2)+(($F$74-$F$48)^2)+(($F$75-$F$49)^2)+(($F$76-$F$50)^2)+(($F$77-$F$51)^2))^0.5)/24</f>
        <v>5.2884162146853597E-2</v>
      </c>
      <c r="G79" s="626">
        <f>((+(($G$54-$G$28)^2)+(($G$55-$G$29)^2)+(($G$56-$G$30)^2)+(($G$57-$G$31)^2)+(($G$58-$G$32)^2)+(($G$59-$G$33)^2)+(($G$60-$G$34)^2)+(($G$61-$G$35)^2)+(($G$62-$G$36)^2)+(($G$63-$G$37)^2)+(($G$64-$G$38)^2)+(($G$65-$G$39)^2)+(($G$66-$G$40)^2)+(($G$67-$G$41)^2)+(($G$68-$G$42)^2)+(($G$69-$G$43)^2)+(($G$70-$G$44)^2)+(($G$71-$G$45)^2)+(($G$72-$G$46)^2)+(($G$73-$G$47)^2)+(($G$74-$G$48)^2)+(($G$75-$G$49)^2)+(($G$76-$G$50)^2)+(($G$77-$G$51)^2))^0.5)/24</f>
        <v>1.8739045028106752E-2</v>
      </c>
      <c r="H79" s="626">
        <f>((+(($H$54-$H$28)^2)+(($H$55-$H$29)^2)+(($H$56-$H$30)^2)+(($H$57-$H$31)^2)+(($H$58-$H$32)^2)+(($H$59-$H$33)^2)+(($H$60-$H$34)^2)+(($H$61-$H$35)^2)+(($H$62-$H$36)^2)+(($H$63-$H$37)^2)+(($H$64-$H$38)^2)+(($H$65-$H$39)^2)+(($H$66-$H$40)^2)+(($H$67-$H$41)^2)+(($H$68-$H$42)^2)+(($H$69-$H$43)^2)+(($H$70-$H$44)^2)+(($H$71-$H$45)^2)+(($H$72-$H$46)^2)+(($H$73-$H$47)^2)+(($H$74-$H$48)^2)+(($H$75-$H$49)^2)+(($H$76-$H$50)^2)+(($H$77-$H$51)^2))^0.5)/24</f>
        <v>1.599687388974003E-2</v>
      </c>
      <c r="I79" s="626">
        <f>((+(($I$54-$I$28)^2)+(($I$55-$I$29)^2)+(($I$56-$I$30)^2)+(($I$57-$I$31)^2)+(($I$58-$I$32)^2)+(($I$59-$I$33)^2)+(($I$60-$I$34)^2)+(($I$61-$I$35)^2)+(($I$62-$I$36)^2)+(($I$63-$I$37)^2)+(($I$64-$I$38)^2)+(($I$65-$I$39)^2)+(($I$66-$I$40)^2)+(($I$67-$I$41)^2)+(($I$68-$I$42)^2)+(($I$69-$I$43)^2)+(($I$70-$I$44)^2)+(($I$71-$I$45)^2)+(($I$72-$I$46)^2)+(($I$73-$I$47)^2)+(($I$74-$I$48)^2)+(($I$75-$I$49)^2)+(($I$76-$I$50)^2)+(($I$77-$I$51)^2))^0.5)/24</f>
        <v>2.0668231844530847E-2</v>
      </c>
      <c r="J79" s="626">
        <f>((+(($J$54-$J$28)^2)+(($J$55-$J$29)^2)+(($J$56-$J$30)^2)+(($J$57-$J$31)^2)+(($J$58-$J$32)^2)+(($J$59-$J$33)^2)+(($J$60-$J$34)^2)+(($J$61-$J$35)^2)+(($J$62-$J$36)^2)+(($J$63-$J$37)^2)+(($J$64-$J$38)^2)+(($J$65-$J$39)^2)+(($J$66-$J$40)^2)+(($J$67-$J$41)^2)+(($J$68-$J$42)^2)+(($J$69-$J$43)^2)+(($J$70-$J$44)^2)+(($J$71-$J$45)^2)+(($J$72-$J$46)^2)+(($J$73-$J$47)^2)+(($J$74-$J$48)^2)+(($J$75-$J$49)^2)+(($J$76-$J$50)^2)+(($J$77-$J$51)^2))^0.5)/24</f>
        <v>1.5682254768023908E-2</v>
      </c>
      <c r="K79" s="626">
        <f>((+(($K$54-$K$28)^2)+(($K$55-$K$29)^2)+(($K$56-$K$30)^2)+(($K$57-$K$31)^2)+(($K$58-$K$32)^2)+(($K$59-$K$33)^2)+(($K$60-$K$34)^2)+(($K$61-$K$35)^2)+(($K$62-$K$36)^2)+(($K$63-$K$37)^2)+(($K$64-$K$38)^2)+(($K$65-$K$39)^2)+(($K$66-$K$40)^2)+(($K$67-$K$41)^2)+(($K$68-$K$42)^2)+(($K$69-$K$43)^2)+(($K$70-$K$44)^2)+(($K$71-$K$45)^2)+(($K$72-$K$46)^2)+(($K$73-$K$47)^2)+(($K$74-$K$48)^2)+(($K$75-$K$49)^2)+(($K$76-$K$50)^2)+(($K$77-$K$51)^2))^0.5)/24</f>
        <v>0.14086573124192794</v>
      </c>
      <c r="L79" s="626">
        <f>((+(($L$54-$L$28)^2)+(($L$55-$L$29)^2)+(($L$56-$L$30)^2)+(($L$57-$L$31)^2)+(($L$58-$L$32)^2)+(($L$59-$L$33)^2)+(($L$60-$L$34)^2)+(($L$61-$L$35)^2)+(($L$62-$L$36)^2)+(($L$63-$L$37)^2)+(($L$64-$L$38)^2)+(($L$65-$L$39)^2)+(($L$66-$L$40)^2)+(($L$67-$L$41)^2)+(($L$68-$L$42)^2)+(($L$69-$L$43)^2)+(($L$70-$L$44)^2)+(($L$71-$L$45)^2)+(($L$72-$L$46)^2)+(($L$73-$L$47)^2)+(($L$74-$L$48)^2)+(($L$75-$L$49)^2)+(($L$76-$L$50)^2)+(($L$77-$L$51)^2))^0.5)/24</f>
        <v>5.498620850455687E-2</v>
      </c>
      <c r="M79" s="626">
        <f>((+(($M$54-$M$28)^2)+(($M$55-$M$29)^2)+(($M$56-$M$30)^2)+(($M$57-$M$31)^2)+(($M$58-$M$32)^2)+(($M$59-$M$33)^2)+(($M$60-$M$34)^2)+(($M$61-$M$35)^2)+(($M$62-$M$36)^2)+(($M$63-$M$37)^2)+(($M$64-$M$38)^2)+(($M$65-$M$39)^2)+(($M$66-$M$40)^2)+(($M$67-$M$41)^2)+(($M$68-$M$42)^2)+(($M$69-$M$43)^2)+(($M$70-$M$44)^2)+(($M$71-$M$45)^2)+(($M$72-$M$46)^2)+(($M$73-$M$47)^2)+(($M$74-$M$48)^2)+(($M$75-$M$49)^2)+(($M$76-$M$50)^2)+(($M$77-$M$51)^2))^0.5)/24</f>
        <v>2.2070822206497503E-2</v>
      </c>
      <c r="N79" s="626">
        <f>((+(($N$54-$N$28)^2)+(($N$55-$N$29)^2)+(($N$56-$N$30)^2)+(($N$57-$N$31)^2)+(($N$58-$N$32)^2)+(($N$59-$N$33)^2)+(($N$60-$N$34)^2)+(($N$61-$N$35)^2)+(($N$62-$N$36)^2)+(($N$63-$N$37)^2)+(($N$64-$N$38)^2)+(($N$65-$N$39)^2)+(($N$66-$N$40)^2)+(($N$67-$N$41)^2)+(($N$68-$N$42)^2)+(($N$69-$N$43)^2)+(($N$70-$N$44)^2)+(($N$71-$N$45)^2)+(($N$72-$N$46)^2)+(($N$73-$N$47)^2)+(($N$74-$N$48)^2)+(($N$75-$N$49)^2)+(($N$76-$N$50)^2)+(($N$77-$N$51)^2))^0.5)/24</f>
        <v>4.7126700905443658E-2</v>
      </c>
      <c r="O79" s="626">
        <f>((+(($O$54-$O$28)^2)+(($O$55-$O$29)^2)+(($O$56-$O$30)^2)+(($O$57-$O$31)^2)+(($O$58-$O$32)^2)+(($O$59-$O$33)^2)+(($O$60-$O$34)^2)+(($O$61-$O$35)^2)+(($O$62-$O$36)^2)+(($O$63-$O$37)^2)+(($O$64-$O$38)^2)+(($O$65-$O$39)^2)+(($O$66-$O$40)^2)+(($O$67-$O$41)^2)+(($O$68-$O$42)^2)+(($O$69-$O$43)^2)+(($O$70-$O$44)^2)+(($O$71-$O$45)^2)+(($O$72-$O$46)^2)+(($O$73-$O$47)^2)+(($O$74-$O$48)^2)+(($O$75-$O$49)^2)+(($O$76-$O$50)^2)+(($O$77-$O$51)^2))^0.5)/24</f>
        <v>3.7132949042483841E-2</v>
      </c>
      <c r="P79" s="626">
        <f>((+(($P$54-$P$28)^2)+(($P$55-$P$29)^2)+(($P$56-$P$30)^2)+(($P$57-$P$31)^2)+(($P$58-$P$32)^2)+(($P$59-$P$33)^2)+(($P$60-$P$34)^2)+(($P$61-$P$35)^2)+(($P$62-$P$36)^2)+(($P$63-$P$37)^2)+(($P$64-$P$38)^2)+(($P$65-$P$39)^2)+(($P$66-$P$40)^2)+(($P$67-$P$41)^2)+(($P$68-$P$42)^2)+(($P$69-$P$43)^2)+(($P$70-$P$44)^2)+(($P$71-$P$45)^2)+(($P$72-$P$46)^2)+(($P$73-$P$47)^2)+(($P$74-$P$48)^2)+(($P$75-$P$49)^2)+(($P$76-$P$50)^2)+(($P$77-$P$51)^2))^0.5)/24</f>
        <v>3.0400114792701053E-2</v>
      </c>
      <c r="Q79" s="626">
        <f>((+(($Q$54-$Q$28)^2)+(($Q$55-$Q$29)^2)+(($Q$56-$Q$30)^2)+(($Q$57-$Q$31)^2)+(($Q$58-$Q$32)^2)+(($Q$59-$Q$33)^2)+(($Q$60-$Q$34)^2)+(($Q$61-$Q$35)^2)+(($Q$62-$Q$36)^2)+(($Q$63-$Q$37)^2)+(($Q$64-$Q$38)^2)+(($Q$65-$Q$39)^2)+(($Q$66-$Q$40)^2)+(($Q$67-$Q$41)^2)+(($Q$68-$Q$42)^2)+(($Q$69-$Q$43)^2)+(($Q$70-$Q$44)^2)+(($Q$71-$Q$45)^2)+(($Q$72-$Q$46)^2)+(($Q$73-$Q$47)^2)+(($Q$74-$Q$48)^2)+(($Q$75-$Q$49)^2)+(($Q$76-$Q$50)^2)+(($Q$77-$Q$51)^2))^0.5)/24</f>
        <v>3.0400114792701053E-2</v>
      </c>
    </row>
    <row r="81" spans="1:4" x14ac:dyDescent="0.25">
      <c r="B81" s="625" t="str">
        <f>B53</f>
        <v>RT-006</v>
      </c>
      <c r="C81" s="625"/>
      <c r="D81" s="625"/>
    </row>
    <row r="82" spans="1:4" x14ac:dyDescent="0.25">
      <c r="A82" s="625" t="s">
        <v>409</v>
      </c>
      <c r="B82" s="625" t="s">
        <v>669</v>
      </c>
      <c r="C82" s="625" t="s">
        <v>670</v>
      </c>
      <c r="D82" s="625" t="s">
        <v>617</v>
      </c>
    </row>
    <row r="83" spans="1:4" x14ac:dyDescent="0.25">
      <c r="A83" s="625">
        <v>1</v>
      </c>
      <c r="B83" s="626">
        <f>HLOOKUP($B$81,$B$27:$Q$51,2,0)</f>
        <v>1.0419957846951446</v>
      </c>
      <c r="C83" s="626">
        <f>HLOOKUP($B$81,$B$53:$Q$77,2,0)</f>
        <v>1.2190337389791466</v>
      </c>
      <c r="D83" s="626">
        <f t="shared" ref="D83:D106" si="0">((C83-B83)^2)^0.5</f>
        <v>0.17703795428400193</v>
      </c>
    </row>
    <row r="84" spans="1:4" x14ac:dyDescent="0.25">
      <c r="A84" s="625">
        <v>2</v>
      </c>
      <c r="B84" s="626">
        <f>HLOOKUP($B$81,$B$27:$Q$51,3,0)</f>
        <v>0.94684588585022356</v>
      </c>
      <c r="C84" s="626">
        <f>HLOOKUP($B$81,$B$53:$Q$77,3,0)</f>
        <v>1.0995596846325046</v>
      </c>
      <c r="D84" s="626">
        <f t="shared" si="0"/>
        <v>0.15271379878228108</v>
      </c>
    </row>
    <row r="85" spans="1:4" x14ac:dyDescent="0.25">
      <c r="A85" s="625">
        <v>3</v>
      </c>
      <c r="B85" s="626">
        <f>HLOOKUP($B$81,$B$27:$Q$51,4,0)</f>
        <v>0.91299335332988651</v>
      </c>
      <c r="C85" s="626">
        <f>HLOOKUP($B$81,$B$53:$Q$77,4,0)</f>
        <v>1.0084360709574884</v>
      </c>
      <c r="D85" s="626">
        <f t="shared" si="0"/>
        <v>9.5442717627601925E-2</v>
      </c>
    </row>
    <row r="86" spans="1:4" x14ac:dyDescent="0.25">
      <c r="A86" s="625">
        <v>4</v>
      </c>
      <c r="B86" s="626">
        <f>HLOOKUP($B$81,$B$27:$Q$51,5,0)</f>
        <v>0.90744634409448099</v>
      </c>
      <c r="C86" s="626">
        <f>HLOOKUP($B$81,$B$53:$Q$77,5,0)</f>
        <v>0.92110853385758407</v>
      </c>
      <c r="D86" s="626">
        <f t="shared" si="0"/>
        <v>1.3662189763103072E-2</v>
      </c>
    </row>
    <row r="87" spans="1:4" x14ac:dyDescent="0.25">
      <c r="A87" s="625">
        <v>5</v>
      </c>
      <c r="B87" s="626">
        <f>HLOOKUP($B$81,$B$27:$Q$51,6,0)</f>
        <v>0.91594019852672204</v>
      </c>
      <c r="C87" s="626">
        <f>HLOOKUP($B$81,$B$53:$Q$77,6,0)</f>
        <v>0.90250873696361245</v>
      </c>
      <c r="D87" s="626">
        <f t="shared" si="0"/>
        <v>1.3431461563109592E-2</v>
      </c>
    </row>
    <row r="88" spans="1:4" x14ac:dyDescent="0.25">
      <c r="A88" s="625">
        <v>6</v>
      </c>
      <c r="B88" s="626">
        <f>HLOOKUP($B$81,$B$27:$Q$51,7,0)</f>
        <v>0.93699970810656352</v>
      </c>
      <c r="C88" s="626">
        <f>HLOOKUP($B$81,$B$53:$Q$77,7,0)</f>
        <v>0.87789088760926692</v>
      </c>
      <c r="D88" s="626">
        <f t="shared" si="0"/>
        <v>5.9108820497296599E-2</v>
      </c>
    </row>
    <row r="89" spans="1:4" x14ac:dyDescent="0.25">
      <c r="A89" s="625">
        <v>7</v>
      </c>
      <c r="B89" s="626">
        <f>HLOOKUP($B$81,$B$27:$Q$51,8,0)</f>
        <v>0.86073168747511064</v>
      </c>
      <c r="C89" s="626">
        <f>HLOOKUP($B$81,$B$53:$Q$77,8,0)</f>
        <v>0.85523836277665011</v>
      </c>
      <c r="D89" s="626">
        <f t="shared" si="0"/>
        <v>5.4933246984605333E-3</v>
      </c>
    </row>
    <row r="90" spans="1:4" x14ac:dyDescent="0.25">
      <c r="A90" s="625">
        <v>8</v>
      </c>
      <c r="B90" s="626">
        <f>HLOOKUP($B$81,$B$27:$Q$51,9,0)</f>
        <v>0.74345086785049019</v>
      </c>
      <c r="C90" s="626">
        <f>HLOOKUP($B$81,$B$53:$Q$77,9,0)</f>
        <v>0.74781011520041119</v>
      </c>
      <c r="D90" s="626">
        <f t="shared" si="0"/>
        <v>4.3592473499209916E-3</v>
      </c>
    </row>
    <row r="91" spans="1:4" x14ac:dyDescent="0.25">
      <c r="A91" s="625">
        <v>9</v>
      </c>
      <c r="B91" s="626">
        <f>HLOOKUP($B$81,$B$27:$Q$51,10,0)</f>
        <v>0.64097348797349341</v>
      </c>
      <c r="C91" s="626">
        <f>HLOOKUP($B$81,$B$53:$Q$77,10,0)</f>
        <v>0.63319184474753321</v>
      </c>
      <c r="D91" s="626">
        <f t="shared" si="0"/>
        <v>7.7816432259601998E-3</v>
      </c>
    </row>
    <row r="92" spans="1:4" x14ac:dyDescent="0.25">
      <c r="A92" s="625">
        <v>10</v>
      </c>
      <c r="B92" s="626">
        <f>HLOOKUP($B$81,$B$27:$Q$51,11,0)</f>
        <v>0.59657374081998216</v>
      </c>
      <c r="C92" s="626">
        <f>HLOOKUP($B$81,$B$53:$Q$77,11,0)</f>
        <v>0.47132676290532088</v>
      </c>
      <c r="D92" s="626">
        <f t="shared" si="0"/>
        <v>0.12524697791466127</v>
      </c>
    </row>
    <row r="93" spans="1:4" x14ac:dyDescent="0.25">
      <c r="A93" s="625">
        <v>11</v>
      </c>
      <c r="B93" s="626">
        <f>HLOOKUP($B$81,$B$27:$Q$51,12,0)</f>
        <v>0.5763807162987552</v>
      </c>
      <c r="C93" s="626">
        <f>HLOOKUP($B$81,$B$53:$Q$77,12,0)</f>
        <v>0.55455053154710721</v>
      </c>
      <c r="D93" s="626">
        <f t="shared" si="0"/>
        <v>2.1830184751647996E-2</v>
      </c>
    </row>
    <row r="94" spans="1:4" x14ac:dyDescent="0.25">
      <c r="A94" s="625">
        <v>12</v>
      </c>
      <c r="B94" s="626">
        <f>HLOOKUP($B$81,$B$27:$Q$51,13,0)</f>
        <v>0.55852804569542802</v>
      </c>
      <c r="C94" s="626">
        <f>HLOOKUP($B$81,$B$53:$Q$77,13,0)</f>
        <v>0.50686992050747071</v>
      </c>
      <c r="D94" s="626">
        <f t="shared" si="0"/>
        <v>5.1658125187957316E-2</v>
      </c>
    </row>
    <row r="95" spans="1:4" x14ac:dyDescent="0.25">
      <c r="A95" s="625">
        <v>13</v>
      </c>
      <c r="B95" s="626">
        <f>HLOOKUP($B$81,$B$27:$Q$51,14,0)</f>
        <v>0.72253151858542009</v>
      </c>
      <c r="C95" s="626">
        <f>HLOOKUP($B$81,$B$53:$Q$77,14,0)</f>
        <v>0.43074314442217554</v>
      </c>
      <c r="D95" s="626">
        <f t="shared" si="0"/>
        <v>0.29178837416324455</v>
      </c>
    </row>
    <row r="96" spans="1:4" x14ac:dyDescent="0.25">
      <c r="A96" s="625">
        <v>14</v>
      </c>
      <c r="B96" s="626">
        <f>HLOOKUP($B$81,$B$27:$Q$51,15,0)</f>
        <v>0.59537566584689339</v>
      </c>
      <c r="C96" s="626">
        <f>HLOOKUP($B$81,$B$53:$Q$77,15,0)</f>
        <v>0.37730672387185737</v>
      </c>
      <c r="D96" s="626">
        <f t="shared" si="0"/>
        <v>0.21806894197503601</v>
      </c>
    </row>
    <row r="97" spans="1:4" x14ac:dyDescent="0.25">
      <c r="A97" s="625">
        <v>15</v>
      </c>
      <c r="B97" s="626">
        <f>HLOOKUP($B$81,$B$27:$Q$51,16,0)</f>
        <v>0.66406325168754143</v>
      </c>
      <c r="C97" s="626">
        <f>HLOOKUP($B$81,$B$53:$Q$77,16,0)</f>
        <v>0.53986510542535926</v>
      </c>
      <c r="D97" s="626">
        <f t="shared" si="0"/>
        <v>0.12419814626218217</v>
      </c>
    </row>
    <row r="98" spans="1:4" x14ac:dyDescent="0.25">
      <c r="A98" s="625">
        <v>16</v>
      </c>
      <c r="B98" s="626">
        <f>HLOOKUP($B$81,$B$27:$Q$51,17,0)</f>
        <v>0.66857234794682363</v>
      </c>
      <c r="C98" s="626">
        <f>HLOOKUP($B$81,$B$53:$Q$77,17,0)</f>
        <v>0.62476029440162184</v>
      </c>
      <c r="D98" s="626">
        <f t="shared" si="0"/>
        <v>4.381205354520179E-2</v>
      </c>
    </row>
    <row r="99" spans="1:4" x14ac:dyDescent="0.25">
      <c r="A99" s="625">
        <v>17</v>
      </c>
      <c r="B99" s="626">
        <f>HLOOKUP($B$81,$B$27:$Q$51,18,0)</f>
        <v>0.76709389721507903</v>
      </c>
      <c r="C99" s="626">
        <f>HLOOKUP($B$81,$B$53:$Q$77,18,0)</f>
        <v>0.81663524830316681</v>
      </c>
      <c r="D99" s="626">
        <f t="shared" si="0"/>
        <v>4.9541351088087771E-2</v>
      </c>
    </row>
    <row r="100" spans="1:4" x14ac:dyDescent="0.25">
      <c r="A100" s="625">
        <v>18</v>
      </c>
      <c r="B100" s="626">
        <f>HLOOKUP($B$81,$B$27:$Q$51,19,0)</f>
        <v>1.0385762158159992</v>
      </c>
      <c r="C100" s="626">
        <f>HLOOKUP($B$81,$B$53:$Q$77,19,0)</f>
        <v>1.3306899663622087</v>
      </c>
      <c r="D100" s="626">
        <f t="shared" si="0"/>
        <v>0.29211375054620947</v>
      </c>
    </row>
    <row r="101" spans="1:4" x14ac:dyDescent="0.25">
      <c r="A101" s="625">
        <v>19</v>
      </c>
      <c r="B101" s="626">
        <f>HLOOKUP($B$81,$B$27:$Q$51,20,0)</f>
        <v>1.5783165286529861</v>
      </c>
      <c r="C101" s="626">
        <f>HLOOKUP($B$81,$B$53:$Q$77,20,0)</f>
        <v>1.4090208122343886</v>
      </c>
      <c r="D101" s="626">
        <f t="shared" si="0"/>
        <v>0.16929571641859753</v>
      </c>
    </row>
    <row r="102" spans="1:4" x14ac:dyDescent="0.25">
      <c r="A102" s="625">
        <v>20</v>
      </c>
      <c r="B102" s="626">
        <f>HLOOKUP($B$81,$B$27:$Q$51,21,0)</f>
        <v>1.832863558236115</v>
      </c>
      <c r="C102" s="626">
        <f>HLOOKUP($B$81,$B$53:$Q$77,21,0)</f>
        <v>1.8697462777418252</v>
      </c>
      <c r="D102" s="626">
        <f t="shared" si="0"/>
        <v>3.6882719505710204E-2</v>
      </c>
    </row>
    <row r="103" spans="1:4" x14ac:dyDescent="0.25">
      <c r="A103" s="625">
        <v>21</v>
      </c>
      <c r="B103" s="626">
        <f>HLOOKUP($B$81,$B$27:$Q$51,22,0)</f>
        <v>1.8161647941540777</v>
      </c>
      <c r="C103" s="626">
        <f>HLOOKUP($B$81,$B$53:$Q$77,22,0)</f>
        <v>1.8471527535033216</v>
      </c>
      <c r="D103" s="626">
        <f t="shared" si="0"/>
        <v>3.0987959349243921E-2</v>
      </c>
    </row>
    <row r="104" spans="1:4" x14ac:dyDescent="0.25">
      <c r="A104" s="625">
        <v>22</v>
      </c>
      <c r="B104" s="626">
        <f>HLOOKUP($B$81,$B$27:$Q$51,23,0)</f>
        <v>1.7083111955100747</v>
      </c>
      <c r="C104" s="626">
        <f>HLOOKUP($B$81,$B$53:$Q$77,23,0)</f>
        <v>1.8709726582797082</v>
      </c>
      <c r="D104" s="626">
        <f t="shared" si="0"/>
        <v>0.16266146276963345</v>
      </c>
    </row>
    <row r="105" spans="1:4" x14ac:dyDescent="0.25">
      <c r="A105" s="625">
        <v>23</v>
      </c>
      <c r="B105" s="626">
        <f>HLOOKUP($B$81,$B$27:$Q$51,24,0)</f>
        <v>1.6290534705587272</v>
      </c>
      <c r="C105" s="626">
        <f>HLOOKUP($B$81,$B$53:$Q$77,24,0)</f>
        <v>1.6513014655900737</v>
      </c>
      <c r="D105" s="626">
        <f t="shared" si="0"/>
        <v>2.2247995031346557E-2</v>
      </c>
    </row>
    <row r="106" spans="1:4" x14ac:dyDescent="0.25">
      <c r="A106" s="625">
        <v>24</v>
      </c>
      <c r="B106" s="626">
        <f>HLOOKUP($B$81,$B$27:$Q$51,25,0)</f>
        <v>1.3404577350739824</v>
      </c>
      <c r="C106" s="626">
        <f>HLOOKUP($B$81,$B$53:$Q$77,25,0)</f>
        <v>1.4342803591801934</v>
      </c>
      <c r="D106" s="626">
        <f t="shared" si="0"/>
        <v>9.3822624106211006E-2</v>
      </c>
    </row>
    <row r="108" spans="1:4" x14ac:dyDescent="0.25">
      <c r="A108" s="627" t="s">
        <v>674</v>
      </c>
      <c r="B108" s="626" t="s">
        <v>617</v>
      </c>
    </row>
    <row r="109" spans="1:4" x14ac:dyDescent="0.25">
      <c r="A109" s="627" t="s">
        <v>394</v>
      </c>
      <c r="B109" s="626">
        <f>((+(($B$54-$B$28)^2)+(($B$55-$B$29)^2)+(($B$56-$B$30)^2)+(($B$57-$B$31)^2)+(($B$58-$B$32)^2)+(($B$59-$B$33)^2)+(($B$60-$B$34)^2)+(($B$61-$B$35)^2)+(($B$62-$B$36)^2)+(($B$63-$B$37)^2)+(($B$64-$B$38)^2)+(($B$65-$B$39)^2)+(($B$66-$B$40)^2)+(($B$67-$B$41)^2)+(($B$68-$B$42)^2)+(($B$69-$B$43)^2)+(($B$70-$B$44)^2)+(($B$71-$B$45)^2)+(($B$72-$B$46)^2)+(($B$73-$B$47)^2)+(($B$74-$B$48)^2)+(($B$75-$B$49)^2)+(($B$76-$B$50)^2)+(($B$77-$B$51)^2))^0.5)/24</f>
        <v>2.6058755891953663E-2</v>
      </c>
    </row>
    <row r="110" spans="1:4" x14ac:dyDescent="0.25">
      <c r="A110" s="627" t="s">
        <v>395</v>
      </c>
      <c r="B110" s="626">
        <f>((+(($C$54-$C$28)^2)+(($C$55-$C$29)^2)+(($C$56-$C$30)^2)+(($C$57-$C$31)^2)+(($C$58-$C$32)^2)+(($C$59-$C$33)^2)+(($C$60-$C$34)^2)+(($C$61-$C$35)^2)+(($C$62-$C$36)^2)+(($C$63-$C$37)^2)+(($C$64-$C$38)^2)+(($C$65-$C$39)^2)+(($C$66-$C$40)^2)+(($C$67-$C$41)^2)+(($C$68-$C$42)^2)+(($C$69-$C$43)^2)+(($C$70-$C$44)^2)+(($C$71-$C$45)^2)+(($C$72-$C$46)^2)+(($C$73-$C$47)^2)+(($C$74-$C$48)^2)+(($C$75-$C$49)^2)+(($C$76-$C$50)^2)+(($C$77-$C$51)^2))^0.5)/24</f>
        <v>3.5455557127468978E-2</v>
      </c>
    </row>
    <row r="111" spans="1:4" x14ac:dyDescent="0.25">
      <c r="A111" s="627" t="s">
        <v>396</v>
      </c>
      <c r="B111" s="626">
        <f>((+(($D$54-$D$28)^2)+(($D$55-$D$29)^2)+(($D$56-$D$30)^2)+(($D$57-$D$31)^2)+(($D$58-$D$32)^2)+(($D$59-$D$33)^2)+(($D$60-$D$34)^2)+(($D$61-$D$35)^2)+(($D$62-$D$36)^2)+(($D$63-$D$37)^2)+(($D$64-$D$38)^2)+(($D$65-$D$39)^2)+(($D$66-$D$40)^2)+(($D$67-$D$41)^2)+(($D$68-$D$42)^2)+(($D$69-$D$43)^2)+(($D$70-$D$44)^2)+(($D$71-$D$45)^2)+(($D$72-$D$46)^2)+(($D$73-$D$47)^2)+(($D$74-$D$48)^2)+(($D$75-$D$49)^2)+(($D$76-$D$50)^2)+(($D$77-$D$51)^2))^0.5)/24</f>
        <v>1.5606274347855761E-2</v>
      </c>
    </row>
    <row r="112" spans="1:4" x14ac:dyDescent="0.25">
      <c r="A112" s="627" t="s">
        <v>397</v>
      </c>
      <c r="B112" s="626">
        <f>((+(($E$54-$E$28)^2)+(($E$55-$E$29)^2)+(($E$56-$E$30)^2)+(($E$57-$E$31)^2)+(($E$58-$E$32)^2)+(($E$59-$E$33)^2)+(($E$60-$E$34)^2)+(($E$61-$E$35)^2)+(($E$62-$E$36)^2)+(($E$63-$E$37)^2)+(($E$64-$E$38)^2)+(($E$65-$E$39)^2)+(($E$66-$E$40)^2)+(($E$67-$E$41)^2)+(($E$68-$E$42)^2)+(($E$69-$E$43)^2)+(($E$70-$E$44)^2)+(($E$71-$E$45)^2)+(($E$72-$E$46)^2)+(($E$73-$E$47)^2)+(($E$74-$E$48)^2)+(($E$75-$E$49)^2)+(($E$76-$E$50)^2)+(($E$77-$E$51)^2))^0.5)/24</f>
        <v>1.1608692727289044E-2</v>
      </c>
    </row>
    <row r="113" spans="1:2" x14ac:dyDescent="0.25">
      <c r="A113" s="627" t="s">
        <v>398</v>
      </c>
      <c r="B113" s="626">
        <f>((+(($F$54-$F$28)^2)+(($F$55-$F$29)^2)+(($F$56-$F$30)^2)+(($F$57-$F$31)^2)+(($F$58-$F$32)^2)+(($F$59-$F$33)^2)+(($F$60-$F$34)^2)+(($F$61-$F$35)^2)+(($F$62-$F$36)^2)+(($F$63-$F$37)^2)+(($F$64-$F$38)^2)+(($F$65-$F$39)^2)+(($F$66-$F$40)^2)+(($F$67-$F$41)^2)+(($F$68-$F$42)^2)+(($F$69-$F$43)^2)+(($F$70-$F$44)^2)+(($F$71-$F$45)^2)+(($F$72-$F$46)^2)+(($F$73-$F$47)^2)+(($F$74-$F$48)^2)+(($F$75-$F$49)^2)+(($F$76-$F$50)^2)+(($F$77-$F$51)^2))^0.5)/24</f>
        <v>5.2884162146853597E-2</v>
      </c>
    </row>
    <row r="114" spans="1:2" x14ac:dyDescent="0.25">
      <c r="A114" s="627" t="s">
        <v>399</v>
      </c>
      <c r="B114" s="626">
        <f>((+(($G$54-$G$28)^2)+(($G$55-$G$29)^2)+(($G$56-$G$30)^2)+(($G$57-$G$31)^2)+(($G$58-$G$32)^2)+(($G$59-$G$33)^2)+(($G$60-$G$34)^2)+(($G$61-$G$35)^2)+(($G$62-$G$36)^2)+(($G$63-$G$37)^2)+(($G$64-$G$38)^2)+(($G$65-$G$39)^2)+(($G$66-$G$40)^2)+(($G$67-$G$41)^2)+(($G$68-$G$42)^2)+(($G$69-$G$43)^2)+(($G$70-$G$44)^2)+(($G$71-$G$45)^2)+(($G$72-$G$46)^2)+(($G$73-$G$47)^2)+(($G$74-$G$48)^2)+(($G$75-$G$49)^2)+(($G$76-$G$50)^2)+(($G$77-$G$51)^2))^0.5)/24</f>
        <v>1.8739045028106752E-2</v>
      </c>
    </row>
    <row r="115" spans="1:2" x14ac:dyDescent="0.25">
      <c r="A115" s="627" t="s">
        <v>400</v>
      </c>
      <c r="B115" s="626">
        <f>((+(($H$54-$H$28)^2)+(($H$55-$H$29)^2)+(($H$56-$H$30)^2)+(($H$57-$H$31)^2)+(($H$58-$H$32)^2)+(($H$59-$H$33)^2)+(($H$60-$H$34)^2)+(($H$61-$H$35)^2)+(($H$62-$H$36)^2)+(($H$63-$H$37)^2)+(($H$64-$H$38)^2)+(($H$65-$H$39)^2)+(($H$66-$H$40)^2)+(($H$67-$H$41)^2)+(($H$68-$H$42)^2)+(($H$69-$H$43)^2)+(($H$70-$H$44)^2)+(($H$71-$H$45)^2)+(($H$72-$H$46)^2)+(($H$73-$H$47)^2)+(($H$74-$H$48)^2)+(($H$75-$H$49)^2)+(($H$76-$H$50)^2)+(($H$77-$H$51)^2))^0.5)/24</f>
        <v>1.599687388974003E-2</v>
      </c>
    </row>
    <row r="116" spans="1:2" x14ac:dyDescent="0.25">
      <c r="A116" s="627" t="s">
        <v>401</v>
      </c>
      <c r="B116" s="626">
        <f>((+(($I$54-$I$28)^2)+(($I$55-$I$29)^2)+(($I$56-$I$30)^2)+(($I$57-$I$31)^2)+(($I$58-$I$32)^2)+(($I$59-$I$33)^2)+(($I$60-$I$34)^2)+(($I$61-$I$35)^2)+(($I$62-$I$36)^2)+(($I$63-$I$37)^2)+(($I$64-$I$38)^2)+(($I$65-$I$39)^2)+(($I$66-$I$40)^2)+(($I$67-$I$41)^2)+(($I$68-$I$42)^2)+(($I$69-$I$43)^2)+(($I$70-$I$44)^2)+(($I$71-$I$45)^2)+(($I$72-$I$46)^2)+(($I$73-$I$47)^2)+(($I$74-$I$48)^2)+(($I$75-$I$49)^2)+(($I$76-$I$50)^2)+(($I$77-$I$51)^2))^0.5)/24</f>
        <v>2.0668231844530847E-2</v>
      </c>
    </row>
    <row r="117" spans="1:2" x14ac:dyDescent="0.25">
      <c r="A117" s="627" t="s">
        <v>402</v>
      </c>
      <c r="B117" s="626">
        <f>((+(($J$54-$J$28)^2)+(($J$55-$J$29)^2)+(($J$56-$J$30)^2)+(($J$57-$J$31)^2)+(($J$58-$J$32)^2)+(($J$59-$J$33)^2)+(($J$60-$J$34)^2)+(($J$61-$J$35)^2)+(($J$62-$J$36)^2)+(($J$63-$J$37)^2)+(($J$64-$J$38)^2)+(($J$65-$J$39)^2)+(($J$66-$J$40)^2)+(($J$67-$J$41)^2)+(($J$68-$J$42)^2)+(($J$69-$J$43)^2)+(($J$70-$J$44)^2)+(($J$71-$J$45)^2)+(($J$72-$J$46)^2)+(($J$73-$J$47)^2)+(($J$74-$J$48)^2)+(($J$75-$J$49)^2)+(($J$76-$J$50)^2)+(($J$77-$J$51)^2))^0.5)/24</f>
        <v>1.5682254768023908E-2</v>
      </c>
    </row>
    <row r="118" spans="1:2" x14ac:dyDescent="0.25">
      <c r="A118" s="627" t="s">
        <v>403</v>
      </c>
      <c r="B118" s="626">
        <f>((+(($K$54-$K$28)^2)+(($K$55-$K$29)^2)+(($K$56-$K$30)^2)+(($K$57-$K$31)^2)+(($K$58-$K$32)^2)+(($K$59-$K$33)^2)+(($K$60-$K$34)^2)+(($K$61-$K$35)^2)+(($K$62-$K$36)^2)+(($K$63-$K$37)^2)+(($K$64-$K$38)^2)+(($K$65-$K$39)^2)+(($K$66-$K$40)^2)+(($K$67-$K$41)^2)+(($K$68-$K$42)^2)+(($K$69-$K$43)^2)+(($K$70-$K$44)^2)+(($K$71-$K$45)^2)+(($K$72-$K$46)^2)+(($K$73-$K$47)^2)+(($K$74-$K$48)^2)+(($K$75-$K$49)^2)+(($K$76-$K$50)^2)+(($K$77-$K$51)^2))^0.5)/24</f>
        <v>0.14086573124192794</v>
      </c>
    </row>
    <row r="119" spans="1:2" x14ac:dyDescent="0.25">
      <c r="A119" s="627" t="s">
        <v>390</v>
      </c>
      <c r="B119" s="626">
        <f>((+(($L$54-$L$28)^2)+(($L$55-$L$29)^2)+(($L$56-$L$30)^2)+(($L$57-$L$31)^2)+(($L$58-$L$32)^2)+(($L$59-$L$33)^2)+(($L$60-$L$34)^2)+(($L$61-$L$35)^2)+(($L$62-$L$36)^2)+(($L$63-$L$37)^2)+(($L$64-$L$38)^2)+(($L$65-$L$39)^2)+(($L$66-$L$40)^2)+(($L$67-$L$41)^2)+(($L$68-$L$42)^2)+(($L$69-$L$43)^2)+(($L$70-$L$44)^2)+(($L$71-$L$45)^2)+(($L$72-$L$46)^2)+(($L$73-$L$47)^2)+(($L$74-$L$48)^2)+(($L$75-$L$49)^2)+(($L$76-$L$50)^2)+(($L$77-$L$51)^2))^0.5)/24</f>
        <v>5.498620850455687E-2</v>
      </c>
    </row>
    <row r="120" spans="1:2" x14ac:dyDescent="0.25">
      <c r="A120" s="627" t="s">
        <v>391</v>
      </c>
      <c r="B120" s="626">
        <f>((+(($M$54-$M$28)^2)+(($M$55-$M$29)^2)+(($M$56-$M$30)^2)+(($M$57-$M$31)^2)+(($M$58-$M$32)^2)+(($M$59-$M$33)^2)+(($M$60-$M$34)^2)+(($M$61-$M$35)^2)+(($M$62-$M$36)^2)+(($M$63-$M$37)^2)+(($M$64-$M$38)^2)+(($M$65-$M$39)^2)+(($M$66-$M$40)^2)+(($M$67-$M$41)^2)+(($M$68-$M$42)^2)+(($M$69-$M$43)^2)+(($M$70-$M$44)^2)+(($M$71-$M$45)^2)+(($M$72-$M$46)^2)+(($M$73-$M$47)^2)+(($M$74-$M$48)^2)+(($M$75-$M$49)^2)+(($M$76-$M$50)^2)+(($M$77-$M$51)^2))^0.5)/24</f>
        <v>2.2070822206497503E-2</v>
      </c>
    </row>
    <row r="121" spans="1:2" x14ac:dyDescent="0.25">
      <c r="A121" s="627" t="s">
        <v>392</v>
      </c>
      <c r="B121" s="626">
        <f>((+(($N$54-$N$28)^2)+(($N$55-$N$29)^2)+(($N$56-$N$30)^2)+(($N$57-$N$31)^2)+(($N$58-$N$32)^2)+(($N$59-$N$33)^2)+(($N$60-$N$34)^2)+(($N$61-$N$35)^2)+(($N$62-$N$36)^2)+(($N$63-$N$37)^2)+(($N$64-$N$38)^2)+(($N$65-$N$39)^2)+(($N$66-$N$40)^2)+(($N$67-$N$41)^2)+(($N$68-$N$42)^2)+(($N$69-$N$43)^2)+(($N$70-$N$44)^2)+(($N$71-$N$45)^2)+(($N$72-$N$46)^2)+(($N$73-$N$47)^2)+(($N$74-$N$48)^2)+(($N$75-$N$49)^2)+(($N$76-$N$50)^2)+(($N$77-$N$51)^2))^0.5)/24</f>
        <v>4.7126700905443658E-2</v>
      </c>
    </row>
    <row r="122" spans="1:2" x14ac:dyDescent="0.25">
      <c r="A122" s="627" t="s">
        <v>393</v>
      </c>
      <c r="B122" s="626">
        <f>((+(($O$54-$O$28)^2)+(($O$55-$O$29)^2)+(($O$56-$O$30)^2)+(($O$57-$O$31)^2)+(($O$58-$O$32)^2)+(($O$59-$O$33)^2)+(($O$60-$O$34)^2)+(($O$61-$O$35)^2)+(($O$62-$O$36)^2)+(($O$63-$O$37)^2)+(($O$64-$O$38)^2)+(($O$65-$O$39)^2)+(($O$66-$O$40)^2)+(($O$67-$O$41)^2)+(($O$68-$O$42)^2)+(($O$69-$O$43)^2)+(($O$70-$O$44)^2)+(($O$71-$O$45)^2)+(($O$72-$O$46)^2)+(($O$73-$O$47)^2)+(($O$74-$O$48)^2)+(($O$75-$O$49)^2)+(($O$76-$O$50)^2)+(($O$77-$O$51)^2))^0.5)/24</f>
        <v>3.7132949042483841E-2</v>
      </c>
    </row>
    <row r="123" spans="1:2" x14ac:dyDescent="0.25">
      <c r="A123" s="627" t="s">
        <v>404</v>
      </c>
      <c r="B123" s="626">
        <f>((+(($P$54-$P$28)^2)+(($P$55-$P$29)^2)+(($P$56-$P$30)^2)+(($P$57-$P$31)^2)+(($P$58-$P$32)^2)+(($P$59-$P$33)^2)+(($P$60-$P$34)^2)+(($P$61-$P$35)^2)+(($P$62-$P$36)^2)+(($P$63-$P$37)^2)+(($P$64-$P$38)^2)+(($P$65-$P$39)^2)+(($P$66-$P$40)^2)+(($P$67-$P$41)^2)+(($P$68-$P$42)^2)+(($P$69-$P$43)^2)+(($P$70-$P$44)^2)+(($P$71-$P$45)^2)+(($P$72-$P$46)^2)+(($P$73-$P$47)^2)+(($P$74-$P$48)^2)+(($P$75-$P$49)^2)+(($P$76-$P$50)^2)+(($P$77-$P$51)^2))^0.5)/24</f>
        <v>3.0400114792701053E-2</v>
      </c>
    </row>
    <row r="124" spans="1:2" x14ac:dyDescent="0.25">
      <c r="A124" s="627" t="s">
        <v>389</v>
      </c>
      <c r="B124" s="626">
        <f>((+(($Q$54-$Q$28)^2)+(($Q$55-$Q$29)^2)+(($Q$56-$Q$30)^2)+(($Q$57-$Q$31)^2)+(($Q$58-$Q$32)^2)+(($Q$59-$Q$33)^2)+(($Q$60-$Q$34)^2)+(($Q$61-$Q$35)^2)+(($Q$62-$Q$36)^2)+(($Q$63-$Q$37)^2)+(($Q$64-$Q$38)^2)+(($Q$65-$Q$39)^2)+(($Q$66-$Q$40)^2)+(($Q$67-$Q$41)^2)+(($Q$68-$Q$42)^2)+(($Q$69-$Q$43)^2)+(($Q$70-$Q$44)^2)+(($Q$71-$Q$45)^2)+(($Q$72-$Q$46)^2)+(($Q$73-$Q$47)^2)+(($Q$74-$Q$48)^2)+(($Q$75-$Q$49)^2)+(($Q$76-$Q$50)^2)+(($Q$77-$Q$51)^2))^0.5)/24</f>
        <v>3.0400114792701053E-2</v>
      </c>
    </row>
  </sheetData>
  <dataValidations count="1">
    <dataValidation type="list" allowBlank="1" showInputMessage="1" showErrorMessage="1" sqref="B81" xr:uid="{DA4F3668-071E-4773-87E0-01564C861834}">
      <formula1>$B$53:$Q$53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3">
    <tabColor theme="7" tint="-0.249977111117893"/>
  </sheetPr>
  <dimension ref="A2:N59"/>
  <sheetViews>
    <sheetView showGridLines="0" workbookViewId="0">
      <selection activeCell="B60" sqref="B60"/>
    </sheetView>
  </sheetViews>
  <sheetFormatPr defaultColWidth="9.140625" defaultRowHeight="12.75" x14ac:dyDescent="0.2"/>
  <cols>
    <col min="1" max="1" width="0.7109375" style="2" customWidth="1"/>
    <col min="2" max="2" width="9.42578125" style="2" customWidth="1"/>
    <col min="3" max="3" width="11.5703125" style="2" customWidth="1"/>
    <col min="4" max="4" width="13" style="2" customWidth="1"/>
    <col min="5" max="5" width="13.28515625" style="2" customWidth="1"/>
    <col min="6" max="6" width="14.7109375" style="2" bestFit="1" customWidth="1"/>
    <col min="7" max="7" width="14.5703125" style="2" customWidth="1"/>
    <col min="8" max="8" width="3" style="2" customWidth="1"/>
    <col min="9" max="9" width="11.7109375" style="2" bestFit="1" customWidth="1"/>
    <col min="10" max="10" width="13.7109375" style="2" customWidth="1"/>
    <col min="11" max="11" width="12.140625" style="2" customWidth="1"/>
    <col min="12" max="12" width="13.5703125" style="2" customWidth="1"/>
    <col min="13" max="13" width="11.85546875" style="2" customWidth="1"/>
    <col min="14" max="14" width="10.85546875" style="2" customWidth="1"/>
    <col min="15" max="16384" width="9.140625" style="2"/>
  </cols>
  <sheetData>
    <row r="2" spans="1:14" x14ac:dyDescent="0.2">
      <c r="D2" s="1" t="s">
        <v>3488</v>
      </c>
    </row>
    <row r="6" spans="1:14" x14ac:dyDescent="0.2">
      <c r="D6" s="1" t="s">
        <v>518</v>
      </c>
      <c r="I6" s="1" t="s">
        <v>519</v>
      </c>
    </row>
    <row r="7" spans="1:14" ht="4.5" customHeight="1" thickBot="1" x14ac:dyDescent="0.25">
      <c r="D7" s="1"/>
      <c r="I7" s="1"/>
    </row>
    <row r="8" spans="1:14" ht="13.5" thickBot="1" x14ac:dyDescent="0.25">
      <c r="B8" s="788" t="s">
        <v>48</v>
      </c>
      <c r="C8" s="789"/>
      <c r="D8" s="59" t="s">
        <v>550</v>
      </c>
      <c r="E8" s="59" t="s">
        <v>551</v>
      </c>
      <c r="F8" s="59" t="s">
        <v>552</v>
      </c>
      <c r="G8" s="59" t="s">
        <v>553</v>
      </c>
      <c r="I8" s="18" t="s">
        <v>7</v>
      </c>
      <c r="J8" s="18" t="s">
        <v>8</v>
      </c>
      <c r="K8" s="18" t="s">
        <v>6</v>
      </c>
      <c r="L8" s="18" t="s">
        <v>20</v>
      </c>
      <c r="M8" s="18" t="s">
        <v>53</v>
      </c>
    </row>
    <row r="9" spans="1:14" x14ac:dyDescent="0.2">
      <c r="B9" s="155"/>
      <c r="C9" s="156"/>
      <c r="D9" s="69" t="s">
        <v>343</v>
      </c>
      <c r="E9" s="69" t="s">
        <v>343</v>
      </c>
      <c r="F9" s="69" t="s">
        <v>343</v>
      </c>
      <c r="G9" s="69" t="s">
        <v>343</v>
      </c>
      <c r="I9" s="69" t="s">
        <v>343</v>
      </c>
      <c r="J9" s="69" t="s">
        <v>343</v>
      </c>
      <c r="K9" s="69" t="s">
        <v>343</v>
      </c>
      <c r="L9" s="69" t="s">
        <v>343</v>
      </c>
      <c r="M9" s="69" t="s">
        <v>343</v>
      </c>
    </row>
    <row r="10" spans="1:14" x14ac:dyDescent="0.2">
      <c r="A10" s="77"/>
      <c r="B10" s="165" t="s">
        <v>520</v>
      </c>
      <c r="C10" s="148" t="s">
        <v>356</v>
      </c>
      <c r="D10" s="157">
        <f>'RT (CTR)'!B93</f>
        <v>0</v>
      </c>
      <c r="E10" s="157">
        <f>'RT (CTR)'!B64</f>
        <v>9.3231904480275904</v>
      </c>
      <c r="F10" s="157">
        <f>'RT (CTR)'!B35</f>
        <v>20.67938660560036</v>
      </c>
      <c r="G10" s="157">
        <f>'RT (CTR)'!B6</f>
        <v>18.658925734753016</v>
      </c>
      <c r="H10" s="150"/>
      <c r="I10" s="157">
        <f>'CT (CTR)'!AF312</f>
        <v>0</v>
      </c>
      <c r="J10" s="157">
        <f>'CT (CTR)'!AF278</f>
        <v>0</v>
      </c>
      <c r="K10" s="157">
        <f>'CT (CTR)'!AF244</f>
        <v>2.3779111167471134</v>
      </c>
      <c r="L10" s="157">
        <f>'CT (CTR)'!AH6</f>
        <v>20.570371436847289</v>
      </c>
      <c r="M10" s="158">
        <f t="shared" ref="M10:M33" si="0">SUM(I10:L10)</f>
        <v>22.948282553594403</v>
      </c>
      <c r="N10" s="160" t="s">
        <v>520</v>
      </c>
    </row>
    <row r="11" spans="1:14" x14ac:dyDescent="0.2">
      <c r="A11" s="77"/>
      <c r="B11" s="165" t="s">
        <v>521</v>
      </c>
      <c r="C11" s="148" t="s">
        <v>356</v>
      </c>
      <c r="D11" s="157">
        <f>'RT (CTR)'!B94</f>
        <v>0</v>
      </c>
      <c r="E11" s="157">
        <f>'RT (CTR)'!B65</f>
        <v>10.108276536101</v>
      </c>
      <c r="F11" s="157">
        <f>'RT (CTR)'!B36</f>
        <v>21.177864593187348</v>
      </c>
      <c r="G11" s="157">
        <f>'RT (CTR)'!B7</f>
        <v>22.51578936312146</v>
      </c>
      <c r="H11" s="150"/>
      <c r="I11" s="157">
        <f>'CT (CTR)'!AF313</f>
        <v>0</v>
      </c>
      <c r="J11" s="157">
        <f>'CT (CTR)'!AF279</f>
        <v>0</v>
      </c>
      <c r="K11" s="157">
        <f>'CT (CTR)'!AF245</f>
        <v>2.1973804495621345</v>
      </c>
      <c r="L11" s="157">
        <f>'CT (CTR)'!AH7</f>
        <v>20.999223142417978</v>
      </c>
      <c r="M11" s="158">
        <f t="shared" si="0"/>
        <v>23.196603591980114</v>
      </c>
      <c r="N11" s="160" t="s">
        <v>521</v>
      </c>
    </row>
    <row r="12" spans="1:14" x14ac:dyDescent="0.2">
      <c r="A12" s="77"/>
      <c r="B12" s="165" t="s">
        <v>522</v>
      </c>
      <c r="C12" s="148" t="s">
        <v>356</v>
      </c>
      <c r="D12" s="157">
        <f>'RT (CTR)'!B95</f>
        <v>0</v>
      </c>
      <c r="E12" s="157">
        <f>'RT (CTR)'!B66</f>
        <v>8.4189195677056592</v>
      </c>
      <c r="F12" s="157">
        <f>'RT (CTR)'!B37</f>
        <v>19.084969563590388</v>
      </c>
      <c r="G12" s="157">
        <f>'RT (CTR)'!B8</f>
        <v>21.858088339075454</v>
      </c>
      <c r="H12" s="150"/>
      <c r="I12" s="157">
        <f>'CT (CTR)'!AF314</f>
        <v>0</v>
      </c>
      <c r="J12" s="157">
        <f>'CT (CTR)'!AF280</f>
        <v>0</v>
      </c>
      <c r="K12" s="157">
        <f>'CT (CTR)'!AF246</f>
        <v>1.9696843870310794</v>
      </c>
      <c r="L12" s="157">
        <f>'CT (CTR)'!AH8</f>
        <v>21.277952513427746</v>
      </c>
      <c r="M12" s="158">
        <f t="shared" si="0"/>
        <v>23.247636900458826</v>
      </c>
      <c r="N12" s="160" t="s">
        <v>522</v>
      </c>
    </row>
    <row r="13" spans="1:14" x14ac:dyDescent="0.2">
      <c r="A13" s="77"/>
      <c r="B13" s="165" t="s">
        <v>523</v>
      </c>
      <c r="C13" s="58" t="s">
        <v>358</v>
      </c>
      <c r="D13" s="149">
        <f>'RT (CTR)'!B96</f>
        <v>0</v>
      </c>
      <c r="E13" s="149">
        <f>'RT (CTR)'!B67</f>
        <v>6.7576239037896499</v>
      </c>
      <c r="F13" s="149">
        <f>'RT (CTR)'!B38</f>
        <v>17.193081798969477</v>
      </c>
      <c r="G13" s="149">
        <f>'RT (CTR)'!B9</f>
        <v>18.99979291319513</v>
      </c>
      <c r="H13" s="150"/>
      <c r="I13" s="149">
        <f>'CT (CTR)'!AF315</f>
        <v>0</v>
      </c>
      <c r="J13" s="149">
        <f>'CT (CTR)'!AF281</f>
        <v>0</v>
      </c>
      <c r="K13" s="149">
        <f>'CT (CTR)'!AF247</f>
        <v>3.6717451575101343</v>
      </c>
      <c r="L13" s="149">
        <f>'CT (CTR)'!AH9</f>
        <v>17.433349252646376</v>
      </c>
      <c r="M13" s="159">
        <f t="shared" si="0"/>
        <v>21.105094410156511</v>
      </c>
      <c r="N13" s="160" t="s">
        <v>523</v>
      </c>
    </row>
    <row r="14" spans="1:14" x14ac:dyDescent="0.2">
      <c r="A14" s="77"/>
      <c r="B14" s="165" t="s">
        <v>524</v>
      </c>
      <c r="C14" s="58" t="s">
        <v>358</v>
      </c>
      <c r="D14" s="149">
        <f>'RT (CTR)'!B97</f>
        <v>0</v>
      </c>
      <c r="E14" s="149">
        <f>'RT (CTR)'!B68</f>
        <v>5.6218905972686297</v>
      </c>
      <c r="F14" s="149">
        <f>'RT (CTR)'!B39</f>
        <v>15.750417286766867</v>
      </c>
      <c r="G14" s="149">
        <f>'RT (CTR)'!B10</f>
        <v>16.676051806484622</v>
      </c>
      <c r="H14" s="150"/>
      <c r="I14" s="149">
        <f>'CT (CTR)'!AF316</f>
        <v>0</v>
      </c>
      <c r="J14" s="149">
        <f>'CT (CTR)'!AF282</f>
        <v>0</v>
      </c>
      <c r="K14" s="149">
        <f>'CT (CTR)'!AF248</f>
        <v>3.8684173942412801</v>
      </c>
      <c r="L14" s="149">
        <f>'CT (CTR)'!AH10</f>
        <v>14.808280656350849</v>
      </c>
      <c r="M14" s="159">
        <f t="shared" si="0"/>
        <v>18.67669805059213</v>
      </c>
      <c r="N14" s="160" t="s">
        <v>524</v>
      </c>
    </row>
    <row r="15" spans="1:14" x14ac:dyDescent="0.2">
      <c r="A15" s="77"/>
      <c r="B15" s="165" t="s">
        <v>525</v>
      </c>
      <c r="C15" s="58" t="s">
        <v>358</v>
      </c>
      <c r="D15" s="149">
        <f>'RT (CTR)'!B98</f>
        <v>0</v>
      </c>
      <c r="E15" s="149">
        <f>'RT (CTR)'!B69</f>
        <v>4.3464421692057398</v>
      </c>
      <c r="F15" s="149">
        <f>'RT (CTR)'!B40</f>
        <v>13.75454068225951</v>
      </c>
      <c r="G15" s="149">
        <f>'RT (CTR)'!B11</f>
        <v>13.37263881267017</v>
      </c>
      <c r="H15" s="150"/>
      <c r="I15" s="149">
        <f>'CT (CTR)'!AF317</f>
        <v>0</v>
      </c>
      <c r="J15" s="149">
        <f>'CT (CTR)'!AF283</f>
        <v>0</v>
      </c>
      <c r="K15" s="149">
        <f>'CT (CTR)'!AF249</f>
        <v>3.4294251309721897</v>
      </c>
      <c r="L15" s="149">
        <f>'CT (CTR)'!AH11</f>
        <v>11.837291322934687</v>
      </c>
      <c r="M15" s="159">
        <f t="shared" si="0"/>
        <v>15.266716453906877</v>
      </c>
      <c r="N15" s="160" t="s">
        <v>525</v>
      </c>
    </row>
    <row r="16" spans="1:14" x14ac:dyDescent="0.2">
      <c r="A16" s="77"/>
      <c r="B16" s="165" t="s">
        <v>526</v>
      </c>
      <c r="C16" s="58" t="s">
        <v>358</v>
      </c>
      <c r="D16" s="149">
        <f>'RT (CTR)'!B99</f>
        <v>0</v>
      </c>
      <c r="E16" s="149">
        <f>'RT (CTR)'!B70</f>
        <v>3.46786135851585</v>
      </c>
      <c r="F16" s="149">
        <f>'RT (CTR)'!B41</f>
        <v>15.84939594462756</v>
      </c>
      <c r="G16" s="149">
        <f>'RT (CTR)'!B12</f>
        <v>11.114531978431614</v>
      </c>
      <c r="H16" s="150"/>
      <c r="I16" s="149">
        <f>'CT (CTR)'!AF318</f>
        <v>0</v>
      </c>
      <c r="J16" s="149">
        <f>'CT (CTR)'!AF284</f>
        <v>0</v>
      </c>
      <c r="K16" s="149">
        <f>'CT (CTR)'!AF250</f>
        <v>3.2466970165899331</v>
      </c>
      <c r="L16" s="149">
        <f>'CT (CTR)'!AH12</f>
        <v>9.1357723130503672</v>
      </c>
      <c r="M16" s="159">
        <f t="shared" si="0"/>
        <v>12.382469329640301</v>
      </c>
      <c r="N16" s="160" t="s">
        <v>526</v>
      </c>
    </row>
    <row r="17" spans="1:14" x14ac:dyDescent="0.2">
      <c r="A17" s="77"/>
      <c r="B17" s="165" t="s">
        <v>527</v>
      </c>
      <c r="C17" s="58" t="s">
        <v>358</v>
      </c>
      <c r="D17" s="149">
        <f>'RT (CTR)'!B100</f>
        <v>0</v>
      </c>
      <c r="E17" s="149">
        <f>'RT (CTR)'!B71</f>
        <v>2.7769936012721002</v>
      </c>
      <c r="F17" s="149">
        <f>'RT (CTR)'!B42</f>
        <v>14.094547974673848</v>
      </c>
      <c r="G17" s="149">
        <f>'RT (CTR)'!B13</f>
        <v>9.9856517938284153</v>
      </c>
      <c r="H17" s="150"/>
      <c r="I17" s="149">
        <f>'CT (CTR)'!AF319</f>
        <v>0</v>
      </c>
      <c r="J17" s="149">
        <f>'CT (CTR)'!AF285</f>
        <v>0</v>
      </c>
      <c r="K17" s="149">
        <f>'CT (CTR)'!AF251</f>
        <v>2.9329466187882614</v>
      </c>
      <c r="L17" s="149">
        <f>'CT (CTR)'!AH13</f>
        <v>8.1290315214747455</v>
      </c>
      <c r="M17" s="159">
        <f t="shared" si="0"/>
        <v>11.061978140263006</v>
      </c>
      <c r="N17" s="160" t="s">
        <v>527</v>
      </c>
    </row>
    <row r="18" spans="1:14" x14ac:dyDescent="0.2">
      <c r="A18" s="77"/>
      <c r="B18" s="165" t="s">
        <v>528</v>
      </c>
      <c r="C18" s="58" t="s">
        <v>358</v>
      </c>
      <c r="D18" s="149">
        <f>'RT (CTR)'!B101</f>
        <v>0</v>
      </c>
      <c r="E18" s="149">
        <f>'RT (CTR)'!B72</f>
        <v>2.39781288614043</v>
      </c>
      <c r="F18" s="149">
        <f>'RT (CTR)'!B43</f>
        <v>12.856905042230581</v>
      </c>
      <c r="G18" s="149">
        <f>'RT (CTR)'!B14</f>
        <v>9.1878944024408771</v>
      </c>
      <c r="H18" s="150"/>
      <c r="I18" s="149">
        <f>'CT (CTR)'!AF320</f>
        <v>0</v>
      </c>
      <c r="J18" s="149">
        <f>'CT (CTR)'!AF286</f>
        <v>0</v>
      </c>
      <c r="K18" s="149">
        <f>'CT (CTR)'!AF252</f>
        <v>2.878242543950126</v>
      </c>
      <c r="L18" s="149">
        <f>'CT (CTR)'!AH14</f>
        <v>8.0245862715154708</v>
      </c>
      <c r="M18" s="159">
        <f t="shared" si="0"/>
        <v>10.902828815465597</v>
      </c>
      <c r="N18" s="160" t="s">
        <v>528</v>
      </c>
    </row>
    <row r="19" spans="1:14" x14ac:dyDescent="0.2">
      <c r="A19" s="77"/>
      <c r="B19" s="165" t="s">
        <v>529</v>
      </c>
      <c r="C19" s="58" t="s">
        <v>358</v>
      </c>
      <c r="D19" s="149">
        <f>'RT (CTR)'!B102</f>
        <v>0</v>
      </c>
      <c r="E19" s="149">
        <f>'RT (CTR)'!B73</f>
        <v>2.1794213674968201</v>
      </c>
      <c r="F19" s="149">
        <f>'RT (CTR)'!B44</f>
        <v>11.824993182011665</v>
      </c>
      <c r="G19" s="149">
        <f>'RT (CTR)'!B15</f>
        <v>8.6916461923557069</v>
      </c>
      <c r="H19" s="150"/>
      <c r="I19" s="149">
        <f>'CT (CTR)'!AF321</f>
        <v>0</v>
      </c>
      <c r="J19" s="149">
        <f>'CT (CTR)'!AF287</f>
        <v>0</v>
      </c>
      <c r="K19" s="149">
        <f>'CT (CTR)'!AF253</f>
        <v>2.7962782988613091</v>
      </c>
      <c r="L19" s="149">
        <f>'CT (CTR)'!AH15</f>
        <v>7.7095486629407528</v>
      </c>
      <c r="M19" s="159">
        <f t="shared" si="0"/>
        <v>10.505826961802061</v>
      </c>
      <c r="N19" s="160" t="s">
        <v>529</v>
      </c>
    </row>
    <row r="20" spans="1:14" x14ac:dyDescent="0.2">
      <c r="A20" s="77"/>
      <c r="B20" s="165" t="s">
        <v>530</v>
      </c>
      <c r="C20" s="58" t="s">
        <v>358</v>
      </c>
      <c r="D20" s="149">
        <f>'RT (CTR)'!B103</f>
        <v>0</v>
      </c>
      <c r="E20" s="149">
        <f>'RT (CTR)'!B74</f>
        <v>2.18941848424751</v>
      </c>
      <c r="F20" s="149">
        <f>'RT (CTR)'!B45</f>
        <v>11.338993236913922</v>
      </c>
      <c r="G20" s="149">
        <f>'RT (CTR)'!B16</f>
        <v>8.587738725726469</v>
      </c>
      <c r="H20" s="150"/>
      <c r="I20" s="149">
        <f>'CT (CTR)'!AF322</f>
        <v>0</v>
      </c>
      <c r="J20" s="149">
        <f>'CT (CTR)'!AF288</f>
        <v>0</v>
      </c>
      <c r="K20" s="149">
        <f>'CT (CTR)'!AF254</f>
        <v>2.8497028129464139</v>
      </c>
      <c r="L20" s="149">
        <f>'CT (CTR)'!AH16</f>
        <v>7.6057392681333873</v>
      </c>
      <c r="M20" s="159">
        <f t="shared" si="0"/>
        <v>10.455442081079802</v>
      </c>
      <c r="N20" s="160" t="s">
        <v>530</v>
      </c>
    </row>
    <row r="21" spans="1:14" x14ac:dyDescent="0.2">
      <c r="A21" s="77"/>
      <c r="B21" s="165" t="s">
        <v>531</v>
      </c>
      <c r="C21" s="58" t="s">
        <v>358</v>
      </c>
      <c r="D21" s="149">
        <f>'RT (CTR)'!B104</f>
        <v>0</v>
      </c>
      <c r="E21" s="149">
        <f>'RT (CTR)'!B75</f>
        <v>2.3493958064494098</v>
      </c>
      <c r="F21" s="149">
        <f>'RT (CTR)'!B46</f>
        <v>11.087064765905485</v>
      </c>
      <c r="G21" s="149">
        <f>'RT (CTR)'!B17</f>
        <v>8.9165146546493919</v>
      </c>
      <c r="H21" s="150"/>
      <c r="I21" s="149">
        <f>'CT (CTR)'!AF323</f>
        <v>0</v>
      </c>
      <c r="J21" s="149">
        <f>'CT (CTR)'!AF289</f>
        <v>0</v>
      </c>
      <c r="K21" s="149">
        <f>'CT (CTR)'!AF255</f>
        <v>3.209839971923675</v>
      </c>
      <c r="L21" s="149">
        <f>'CT (CTR)'!AH17</f>
        <v>8.0793174617107617</v>
      </c>
      <c r="M21" s="159">
        <f t="shared" si="0"/>
        <v>11.289157433634436</v>
      </c>
      <c r="N21" s="160" t="s">
        <v>531</v>
      </c>
    </row>
    <row r="22" spans="1:14" x14ac:dyDescent="0.2">
      <c r="A22" s="77"/>
      <c r="B22" s="165" t="s">
        <v>532</v>
      </c>
      <c r="C22" s="58" t="s">
        <v>358</v>
      </c>
      <c r="D22" s="149">
        <f>'RT (CTR)'!B105</f>
        <v>0</v>
      </c>
      <c r="E22" s="149">
        <f>'RT (CTR)'!B76</f>
        <v>3.4390310310819201</v>
      </c>
      <c r="F22" s="149">
        <f>'RT (CTR)'!B47</f>
        <v>12.19772727951168</v>
      </c>
      <c r="G22" s="149">
        <f>'RT (CTR)'!B18</f>
        <v>10.278807831405469</v>
      </c>
      <c r="H22" s="150"/>
      <c r="I22" s="149">
        <f>'CT (CTR)'!AF324</f>
        <v>0</v>
      </c>
      <c r="J22" s="149">
        <f>'CT (CTR)'!AF290</f>
        <v>0</v>
      </c>
      <c r="K22" s="149">
        <f>'CT (CTR)'!AF256</f>
        <v>3.7362295738847608</v>
      </c>
      <c r="L22" s="149">
        <f>'CT (CTR)'!AH18</f>
        <v>10.511166767978471</v>
      </c>
      <c r="M22" s="159">
        <f t="shared" si="0"/>
        <v>14.247396341863233</v>
      </c>
      <c r="N22" s="160" t="s">
        <v>532</v>
      </c>
    </row>
    <row r="23" spans="1:14" x14ac:dyDescent="0.2">
      <c r="A23" s="77"/>
      <c r="B23" s="165" t="s">
        <v>533</v>
      </c>
      <c r="C23" s="58" t="s">
        <v>358</v>
      </c>
      <c r="D23" s="149">
        <f>'RT (CTR)'!B106</f>
        <v>0</v>
      </c>
      <c r="E23" s="149">
        <f>'RT (CTR)'!B77</f>
        <v>4.0169806248622297</v>
      </c>
      <c r="F23" s="149">
        <f>'RT (CTR)'!B48</f>
        <v>13.798073239605799</v>
      </c>
      <c r="G23" s="149">
        <f>'RT (CTR)'!B19</f>
        <v>10.309486423776768</v>
      </c>
      <c r="H23" s="150"/>
      <c r="I23" s="149">
        <f>'CT (CTR)'!AF325</f>
        <v>0</v>
      </c>
      <c r="J23" s="149">
        <f>'CT (CTR)'!AF291</f>
        <v>0</v>
      </c>
      <c r="K23" s="149">
        <f>'CT (CTR)'!AF257</f>
        <v>4.8634863051664956</v>
      </c>
      <c r="L23" s="149">
        <f>'CT (CTR)'!AH19</f>
        <v>10.309399108849981</v>
      </c>
      <c r="M23" s="159">
        <f t="shared" si="0"/>
        <v>15.172885414016477</v>
      </c>
      <c r="N23" s="160" t="s">
        <v>533</v>
      </c>
    </row>
    <row r="24" spans="1:14" x14ac:dyDescent="0.2">
      <c r="A24" s="77"/>
      <c r="B24" s="165" t="s">
        <v>534</v>
      </c>
      <c r="C24" s="58" t="s">
        <v>358</v>
      </c>
      <c r="D24" s="149">
        <f>'RT (CTR)'!B107</f>
        <v>0</v>
      </c>
      <c r="E24" s="149">
        <f>'RT (CTR)'!B78</f>
        <v>5.67690076709032</v>
      </c>
      <c r="F24" s="149">
        <f>'RT (CTR)'!B49</f>
        <v>18.191021005635239</v>
      </c>
      <c r="G24" s="149">
        <f>'RT (CTR)'!B20</f>
        <v>10.531247422655404</v>
      </c>
      <c r="H24" s="150"/>
      <c r="I24" s="149">
        <f>'CT (CTR)'!AF326</f>
        <v>0</v>
      </c>
      <c r="J24" s="149">
        <f>'CT (CTR)'!AF292</f>
        <v>0</v>
      </c>
      <c r="K24" s="149">
        <f>'CT (CTR)'!AF258</f>
        <v>5.8398201690507952</v>
      </c>
      <c r="L24" s="149">
        <f>'CT (CTR)'!AH20</f>
        <v>11.373383640089155</v>
      </c>
      <c r="M24" s="159">
        <f t="shared" si="0"/>
        <v>17.213203809139952</v>
      </c>
      <c r="N24" s="160" t="s">
        <v>534</v>
      </c>
    </row>
    <row r="25" spans="1:14" x14ac:dyDescent="0.2">
      <c r="A25" s="77"/>
      <c r="B25" s="165" t="s">
        <v>535</v>
      </c>
      <c r="C25" s="58" t="s">
        <v>358</v>
      </c>
      <c r="D25" s="149">
        <f>'RT (CTR)'!B108</f>
        <v>0</v>
      </c>
      <c r="E25" s="149">
        <f>'RT (CTR)'!B79</f>
        <v>5.7785410575422604</v>
      </c>
      <c r="F25" s="149">
        <f>'RT (CTR)'!B50</f>
        <v>19.847572414646688</v>
      </c>
      <c r="G25" s="149">
        <f>'RT (CTR)'!B21</f>
        <v>10.760260536416535</v>
      </c>
      <c r="H25" s="150"/>
      <c r="I25" s="149">
        <f>'CT (CTR)'!AF327</f>
        <v>0</v>
      </c>
      <c r="J25" s="149">
        <f>'CT (CTR)'!AF293</f>
        <v>0</v>
      </c>
      <c r="K25" s="149">
        <f>'CT (CTR)'!AF259</f>
        <v>5.9532741120217683</v>
      </c>
      <c r="L25" s="149">
        <f>'CT (CTR)'!AH21</f>
        <v>12.617742179400011</v>
      </c>
      <c r="M25" s="159">
        <f t="shared" si="0"/>
        <v>18.571016291421778</v>
      </c>
      <c r="N25" s="160" t="s">
        <v>535</v>
      </c>
    </row>
    <row r="26" spans="1:14" x14ac:dyDescent="0.2">
      <c r="A26" s="77"/>
      <c r="B26" s="165" t="s">
        <v>536</v>
      </c>
      <c r="C26" s="58" t="s">
        <v>358</v>
      </c>
      <c r="D26" s="149">
        <f>'RT (CTR)'!B109</f>
        <v>0</v>
      </c>
      <c r="E26" s="149">
        <f>'RT (CTR)'!B80</f>
        <v>6.1533052799010202</v>
      </c>
      <c r="F26" s="149">
        <f>'RT (CTR)'!B51</f>
        <v>21.348646893547741</v>
      </c>
      <c r="G26" s="149">
        <f>'RT (CTR)'!B22</f>
        <v>11.470721178172001</v>
      </c>
      <c r="H26" s="150"/>
      <c r="I26" s="149">
        <f>'CT (CTR)'!AF328</f>
        <v>0</v>
      </c>
      <c r="J26" s="149">
        <f>'CT (CTR)'!AF294</f>
        <v>0</v>
      </c>
      <c r="K26" s="149">
        <f>'CT (CTR)'!AF260</f>
        <v>6.1139052031481942</v>
      </c>
      <c r="L26" s="149">
        <f>'CT (CTR)'!AH22</f>
        <v>13.755441298197979</v>
      </c>
      <c r="M26" s="159">
        <f t="shared" si="0"/>
        <v>19.869346501346172</v>
      </c>
      <c r="N26" s="160" t="s">
        <v>536</v>
      </c>
    </row>
    <row r="27" spans="1:14" x14ac:dyDescent="0.2">
      <c r="A27" s="77"/>
      <c r="B27" s="165" t="s">
        <v>537</v>
      </c>
      <c r="C27" s="58" t="s">
        <v>358</v>
      </c>
      <c r="D27" s="149">
        <f>'RT (CTR)'!B110</f>
        <v>0</v>
      </c>
      <c r="E27" s="149">
        <f>'RT (CTR)'!B81</f>
        <v>6.47683981698792</v>
      </c>
      <c r="F27" s="149">
        <f>'RT (CTR)'!B52</f>
        <v>22.032466239055584</v>
      </c>
      <c r="G27" s="149">
        <f>'RT (CTR)'!B23</f>
        <v>12.472651703158828</v>
      </c>
      <c r="H27" s="150"/>
      <c r="I27" s="149">
        <f>'CT (CTR)'!AF329</f>
        <v>0</v>
      </c>
      <c r="J27" s="149">
        <f>'CT (CTR)'!AF295</f>
        <v>0</v>
      </c>
      <c r="K27" s="149">
        <f>'CT (CTR)'!AF261</f>
        <v>5.8330348882394167</v>
      </c>
      <c r="L27" s="149">
        <f>'CT (CTR)'!AH23</f>
        <v>14.578945051778357</v>
      </c>
      <c r="M27" s="159">
        <f t="shared" si="0"/>
        <v>20.411979940017773</v>
      </c>
      <c r="N27" s="160" t="s">
        <v>537</v>
      </c>
    </row>
    <row r="28" spans="1:14" x14ac:dyDescent="0.2">
      <c r="A28" s="77"/>
      <c r="B28" s="165" t="s">
        <v>538</v>
      </c>
      <c r="C28" s="58" t="s">
        <v>358</v>
      </c>
      <c r="D28" s="149">
        <f>'RT (CTR)'!B111</f>
        <v>0</v>
      </c>
      <c r="E28" s="149">
        <f>'RT (CTR)'!B82</f>
        <v>6.4469753252468696</v>
      </c>
      <c r="F28" s="149">
        <f>'RT (CTR)'!B53</f>
        <v>20.359095722180303</v>
      </c>
      <c r="G28" s="149">
        <f>'RT (CTR)'!B24</f>
        <v>11.750486466914495</v>
      </c>
      <c r="H28" s="150"/>
      <c r="I28" s="149">
        <f>'CT (CTR)'!AF330</f>
        <v>0</v>
      </c>
      <c r="J28" s="149">
        <f>'CT (CTR)'!AF296</f>
        <v>0</v>
      </c>
      <c r="K28" s="149">
        <f>'CT (CTR)'!AF262</f>
        <v>5.117877240473871</v>
      </c>
      <c r="L28" s="149">
        <f>'CT (CTR)'!AH24</f>
        <v>14.647967072103235</v>
      </c>
      <c r="M28" s="159">
        <f t="shared" si="0"/>
        <v>19.765844312577105</v>
      </c>
      <c r="N28" s="160" t="s">
        <v>538</v>
      </c>
    </row>
    <row r="29" spans="1:14" x14ac:dyDescent="0.2">
      <c r="A29" s="77"/>
      <c r="B29" s="165" t="s">
        <v>539</v>
      </c>
      <c r="C29" s="58" t="s">
        <v>358</v>
      </c>
      <c r="D29" s="149">
        <f>'RT (CTR)'!B112</f>
        <v>0</v>
      </c>
      <c r="E29" s="149">
        <f>'RT (CTR)'!B83</f>
        <v>5.7702267285277102</v>
      </c>
      <c r="F29" s="149">
        <f>'RT (CTR)'!B54</f>
        <v>22.311029007274797</v>
      </c>
      <c r="G29" s="149">
        <f>'RT (CTR)'!B25</f>
        <v>11.122970515685331</v>
      </c>
      <c r="H29" s="150"/>
      <c r="I29" s="149">
        <f>'CT (CTR)'!AF331</f>
        <v>0</v>
      </c>
      <c r="J29" s="149">
        <f>'CT (CTR)'!AF297</f>
        <v>0</v>
      </c>
      <c r="K29" s="149">
        <f>'CT (CTR)'!AF263</f>
        <v>5.9955439489186215</v>
      </c>
      <c r="L29" s="149">
        <f>'CT (CTR)'!AH25</f>
        <v>12.59315288420852</v>
      </c>
      <c r="M29" s="159">
        <f t="shared" si="0"/>
        <v>18.588696833127141</v>
      </c>
      <c r="N29" s="160" t="s">
        <v>539</v>
      </c>
    </row>
    <row r="30" spans="1:14" x14ac:dyDescent="0.2">
      <c r="A30" s="77"/>
      <c r="B30" s="165" t="s">
        <v>540</v>
      </c>
      <c r="C30" s="58" t="s">
        <v>358</v>
      </c>
      <c r="D30" s="149">
        <f>'RT (CTR)'!B113</f>
        <v>0</v>
      </c>
      <c r="E30" s="149">
        <f>'RT (CTR)'!B84</f>
        <v>6.79441016728323</v>
      </c>
      <c r="F30" s="149">
        <f>'RT (CTR)'!B55</f>
        <v>25.549341550329036</v>
      </c>
      <c r="G30" s="149">
        <f>'RT (CTR)'!B26</f>
        <v>12.148142862148781</v>
      </c>
      <c r="H30" s="150"/>
      <c r="I30" s="149">
        <f>'CT (CTR)'!AF332</f>
        <v>0</v>
      </c>
      <c r="J30" s="149">
        <f>'CT (CTR)'!AF298</f>
        <v>0</v>
      </c>
      <c r="K30" s="149">
        <f>'CT (CTR)'!AF264</f>
        <v>6.5252221130558903</v>
      </c>
      <c r="L30" s="149">
        <f>'CT (CTR)'!AH26</f>
        <v>14.128191067883698</v>
      </c>
      <c r="M30" s="159">
        <f t="shared" si="0"/>
        <v>20.653413180939587</v>
      </c>
      <c r="N30" s="160" t="s">
        <v>540</v>
      </c>
    </row>
    <row r="31" spans="1:14" x14ac:dyDescent="0.2">
      <c r="A31" s="77"/>
      <c r="B31" s="165" t="s">
        <v>541</v>
      </c>
      <c r="C31" s="58" t="s">
        <v>358</v>
      </c>
      <c r="D31" s="149">
        <f>'RT (CTR)'!B114</f>
        <v>0</v>
      </c>
      <c r="E31" s="149">
        <f>'RT (CTR)'!B85</f>
        <v>7.0224157444719602</v>
      </c>
      <c r="F31" s="149">
        <f>'RT (CTR)'!B56</f>
        <v>25.704975095952715</v>
      </c>
      <c r="G31" s="149">
        <f>'RT (CTR)'!B27</f>
        <v>12.799414303903019</v>
      </c>
      <c r="H31" s="150"/>
      <c r="I31" s="149">
        <f>'CT (CTR)'!AF333</f>
        <v>0</v>
      </c>
      <c r="J31" s="149">
        <f>'CT (CTR)'!AF299</f>
        <v>0</v>
      </c>
      <c r="K31" s="149">
        <f>'CT (CTR)'!AF265</f>
        <v>6.5583715776534053</v>
      </c>
      <c r="L31" s="149">
        <f>'CT (CTR)'!AH27</f>
        <v>14.15964268139178</v>
      </c>
      <c r="M31" s="159">
        <f t="shared" si="0"/>
        <v>20.718014259045184</v>
      </c>
      <c r="N31" s="160" t="s">
        <v>541</v>
      </c>
    </row>
    <row r="32" spans="1:14" x14ac:dyDescent="0.2">
      <c r="A32" s="77"/>
      <c r="B32" s="165" t="s">
        <v>542</v>
      </c>
      <c r="C32" s="58" t="s">
        <v>358</v>
      </c>
      <c r="D32" s="149">
        <f>'RT (CTR)'!B115</f>
        <v>0</v>
      </c>
      <c r="E32" s="149">
        <f>'RT (CTR)'!B86</f>
        <v>6.6955459891443603</v>
      </c>
      <c r="F32" s="149">
        <f>'RT (CTR)'!B57</f>
        <v>24.927097919443401</v>
      </c>
      <c r="G32" s="149">
        <f>'RT (CTR)'!B28</f>
        <v>14.248312390125164</v>
      </c>
      <c r="H32" s="150"/>
      <c r="I32" s="149">
        <f>'CT (CTR)'!AF334</f>
        <v>0</v>
      </c>
      <c r="J32" s="149">
        <f>'CT (CTR)'!AF300</f>
        <v>0</v>
      </c>
      <c r="K32" s="149">
        <f>'CT (CTR)'!AF266</f>
        <v>6.5779322560383946</v>
      </c>
      <c r="L32" s="149">
        <f>'CT (CTR)'!AH28</f>
        <v>13.715867828055345</v>
      </c>
      <c r="M32" s="159">
        <f t="shared" si="0"/>
        <v>20.293800084093739</v>
      </c>
      <c r="N32" s="160" t="s">
        <v>542</v>
      </c>
    </row>
    <row r="33" spans="1:14" x14ac:dyDescent="0.2">
      <c r="A33" s="77"/>
      <c r="B33" s="165" t="s">
        <v>543</v>
      </c>
      <c r="C33" s="58" t="s">
        <v>358</v>
      </c>
      <c r="D33" s="149">
        <f>'RT (CTR)'!B116</f>
        <v>0</v>
      </c>
      <c r="E33" s="149">
        <f>'RT (CTR)'!B87</f>
        <v>7.4419268087797299</v>
      </c>
      <c r="F33" s="149">
        <f>'RT (CTR)'!B58</f>
        <v>24.05404514883411</v>
      </c>
      <c r="G33" s="149">
        <f>'RT (CTR)'!B29</f>
        <v>16.067554511718985</v>
      </c>
      <c r="H33" s="150"/>
      <c r="I33" s="149">
        <f>'CT (CTR)'!AF335</f>
        <v>0</v>
      </c>
      <c r="J33" s="149">
        <f>'CT (CTR)'!AF301</f>
        <v>0</v>
      </c>
      <c r="K33" s="149">
        <f>'CT (CTR)'!AF267</f>
        <v>5.4608279479560791</v>
      </c>
      <c r="L33" s="149">
        <f>'CT (CTR)'!AH29</f>
        <v>15.775825497143931</v>
      </c>
      <c r="M33" s="159">
        <f t="shared" si="0"/>
        <v>21.236653445100011</v>
      </c>
      <c r="N33" s="160" t="s">
        <v>543</v>
      </c>
    </row>
    <row r="34" spans="1:14" x14ac:dyDescent="0.2">
      <c r="D34" s="151"/>
      <c r="E34" s="151"/>
      <c r="F34" s="151"/>
      <c r="G34" s="77"/>
      <c r="H34" s="77"/>
      <c r="I34" s="151"/>
      <c r="J34" s="151"/>
      <c r="K34" s="151"/>
      <c r="L34" s="151"/>
      <c r="M34" s="151"/>
    </row>
    <row r="35" spans="1:14" x14ac:dyDescent="0.2">
      <c r="B35" s="12" t="s">
        <v>546</v>
      </c>
      <c r="C35" s="3" t="s">
        <v>356</v>
      </c>
      <c r="D35" s="152">
        <f>MAX(D10:D12)</f>
        <v>0</v>
      </c>
      <c r="E35" s="152">
        <f>MAX(E10:E12)</f>
        <v>10.108276536101</v>
      </c>
      <c r="F35" s="152">
        <f>MAX(F10:F12)</f>
        <v>21.177864593187348</v>
      </c>
      <c r="G35" s="152">
        <f>MAX(G10:G12)</f>
        <v>22.51578936312146</v>
      </c>
      <c r="H35" s="77"/>
      <c r="I35" s="152">
        <f>MAX(I10:I12)</f>
        <v>0</v>
      </c>
      <c r="J35" s="152">
        <f>MAX(J10:J12)</f>
        <v>0</v>
      </c>
      <c r="K35" s="152">
        <f>MAX(K10:K12)</f>
        <v>2.3779111167471134</v>
      </c>
      <c r="L35" s="152">
        <f>MAX(L10:L12)</f>
        <v>21.277952513427746</v>
      </c>
      <c r="M35" s="152">
        <f>MAX(M10:M12)</f>
        <v>23.247636900458826</v>
      </c>
    </row>
    <row r="36" spans="1:14" x14ac:dyDescent="0.2">
      <c r="B36" s="12" t="s">
        <v>547</v>
      </c>
      <c r="C36" s="3" t="s">
        <v>358</v>
      </c>
      <c r="D36" s="152">
        <f>MAX(D13:D33)</f>
        <v>0</v>
      </c>
      <c r="E36" s="152">
        <f>MAX(E13:E33)</f>
        <v>7.4419268087797299</v>
      </c>
      <c r="F36" s="152">
        <f>MAX(F13:F33)</f>
        <v>25.704975095952715</v>
      </c>
      <c r="G36" s="152">
        <f>MAX(G13:G33)</f>
        <v>18.99979291319513</v>
      </c>
      <c r="H36" s="77"/>
      <c r="I36" s="152">
        <f>MAX(I13:I33)</f>
        <v>0</v>
      </c>
      <c r="J36" s="152">
        <f>MAX(J13:J33)</f>
        <v>0</v>
      </c>
      <c r="K36" s="152">
        <f>MAX(K13:K33)</f>
        <v>6.5779322560383946</v>
      </c>
      <c r="L36" s="152">
        <f>MAX(L13:L33)</f>
        <v>17.433349252646376</v>
      </c>
      <c r="M36" s="152">
        <f>MAX(M13:M33)</f>
        <v>21.236653445100011</v>
      </c>
    </row>
    <row r="37" spans="1:14" x14ac:dyDescent="0.2">
      <c r="D37" s="16"/>
      <c r="E37" s="16"/>
      <c r="F37" s="16"/>
      <c r="I37" s="16"/>
      <c r="J37" s="16"/>
      <c r="K37" s="16"/>
      <c r="L37" s="16"/>
      <c r="M37" s="16"/>
    </row>
    <row r="38" spans="1:14" x14ac:dyDescent="0.2">
      <c r="B38" s="12" t="s">
        <v>544</v>
      </c>
      <c r="C38" s="3" t="s">
        <v>356</v>
      </c>
      <c r="D38" s="153" t="str">
        <f>IFERROR(VLOOKUP(D35,D10:$N$12,11,FALSE),"")</f>
        <v>P1</v>
      </c>
      <c r="E38" s="153" t="str">
        <f>IFERROR(VLOOKUP(E35,E10:$N$12,10,FALSE),"")</f>
        <v>P2</v>
      </c>
      <c r="F38" s="153" t="str">
        <f>IFERROR(VLOOKUP(F35,F10:$N$12,9,FALSE),"")</f>
        <v>P2</v>
      </c>
      <c r="G38" s="153" t="str">
        <f>IFERROR(VLOOKUP(G35,G10:$N$12,8,FALSE),"")</f>
        <v>P2</v>
      </c>
      <c r="I38" s="153" t="str">
        <f>IFERROR(VLOOKUP(I35,I10:$N$12,6,FALSE),"")</f>
        <v>P1</v>
      </c>
      <c r="J38" s="153" t="str">
        <f>IFERROR(VLOOKUP(J35,J10:$N$12,5,FALSE),"")</f>
        <v>P1</v>
      </c>
      <c r="K38" s="153" t="str">
        <f>IFERROR(VLOOKUP(K35,K10:$N$12,4,FALSE),"")</f>
        <v>P1</v>
      </c>
      <c r="L38" s="153" t="str">
        <f>IFERROR(VLOOKUP(L35,L10:$N$12,3,FALSE),"")</f>
        <v>P3</v>
      </c>
      <c r="M38" s="153" t="str">
        <f>IFERROR(VLOOKUP(M35,M10:$N$12,2,FALSE),"")</f>
        <v>P3</v>
      </c>
    </row>
    <row r="39" spans="1:14" x14ac:dyDescent="0.2">
      <c r="B39" s="12" t="s">
        <v>545</v>
      </c>
      <c r="C39" s="3" t="s">
        <v>358</v>
      </c>
      <c r="D39" s="153" t="str">
        <f>IFERROR(VLOOKUP(D36,D13:$N$33,11,FALSE),"")</f>
        <v>P4</v>
      </c>
      <c r="E39" s="153" t="str">
        <f>IFERROR(VLOOKUP(E36,E13:$N$33,10,FALSE),"")</f>
        <v>P24</v>
      </c>
      <c r="F39" s="153" t="str">
        <f>IFERROR(VLOOKUP(F36,F13:$N$33,9,FALSE),"")</f>
        <v>P22</v>
      </c>
      <c r="G39" s="153" t="str">
        <f>IFERROR(VLOOKUP(G36,G13:$N$33,8,FALSE),"")</f>
        <v>P4</v>
      </c>
      <c r="I39" s="153" t="str">
        <f>IFERROR(VLOOKUP(I36,I13:$N$33,6,FALSE),"")</f>
        <v>P4</v>
      </c>
      <c r="J39" s="153" t="str">
        <f>IFERROR(VLOOKUP(J36,J13:$N$33,5,FALSE),"")</f>
        <v>P4</v>
      </c>
      <c r="K39" s="153" t="str">
        <f>IFERROR(VLOOKUP(K36,K13:$N$33,4,FALSE),"")</f>
        <v>P23</v>
      </c>
      <c r="L39" s="153" t="str">
        <f>IFERROR(VLOOKUP(L36,L13:$N$33,3,FALSE),"")</f>
        <v>P4</v>
      </c>
      <c r="M39" s="153" t="str">
        <f>IFERROR(VLOOKUP(M36,M13:$N$33,2,FALSE),"")</f>
        <v>P24</v>
      </c>
    </row>
    <row r="40" spans="1:14" x14ac:dyDescent="0.2">
      <c r="D40" s="16"/>
      <c r="E40" s="16"/>
      <c r="F40" s="16"/>
      <c r="I40" s="16"/>
      <c r="J40" s="16"/>
      <c r="K40" s="16"/>
      <c r="L40" s="16"/>
      <c r="M40" s="16"/>
    </row>
    <row r="41" spans="1:14" x14ac:dyDescent="0.2">
      <c r="D41" s="16"/>
      <c r="E41" s="16"/>
      <c r="F41" s="16"/>
      <c r="I41" s="16"/>
      <c r="J41" s="16"/>
      <c r="K41" s="16"/>
      <c r="L41" s="16"/>
      <c r="M41" s="16"/>
    </row>
    <row r="42" spans="1:14" ht="15" customHeight="1" x14ac:dyDescent="0.2">
      <c r="B42" s="1" t="s">
        <v>549</v>
      </c>
      <c r="C42" s="161" t="s">
        <v>554</v>
      </c>
      <c r="D42" s="822" t="s">
        <v>548</v>
      </c>
      <c r="E42" s="823"/>
      <c r="F42" s="823"/>
      <c r="G42" s="823"/>
      <c r="I42" s="1" t="s">
        <v>555</v>
      </c>
      <c r="J42" s="161" t="s">
        <v>554</v>
      </c>
      <c r="K42" s="822" t="s">
        <v>3573</v>
      </c>
      <c r="L42" s="823"/>
      <c r="M42" s="823"/>
      <c r="N42" s="823"/>
    </row>
    <row r="43" spans="1:14" ht="15" x14ac:dyDescent="0.25">
      <c r="B43" s="12"/>
      <c r="C43" s="162"/>
      <c r="D43" s="12" t="s">
        <v>7</v>
      </c>
      <c r="E43" s="12" t="s">
        <v>8</v>
      </c>
      <c r="F43" s="12" t="s">
        <v>6</v>
      </c>
      <c r="G43" s="12" t="s">
        <v>20</v>
      </c>
      <c r="H43" s="94"/>
      <c r="I43" s="12"/>
      <c r="J43" s="162"/>
      <c r="K43" s="12" t="s">
        <v>7</v>
      </c>
      <c r="L43" s="12" t="s">
        <v>8</v>
      </c>
      <c r="M43" s="12" t="s">
        <v>6</v>
      </c>
      <c r="N43" s="12" t="s">
        <v>20</v>
      </c>
    </row>
    <row r="44" spans="1:14" ht="15" x14ac:dyDescent="0.25">
      <c r="B44" s="12" t="s">
        <v>7</v>
      </c>
      <c r="C44" s="163">
        <f>I35</f>
        <v>0</v>
      </c>
      <c r="D44" s="166">
        <f>IF(D35&gt;0,IFERROR(VLOOKUP($D$38,$B$10:$M$12,8,FALSE)/$C$44,),0)</f>
        <v>0</v>
      </c>
      <c r="E44" s="161"/>
      <c r="F44" s="161"/>
      <c r="G44" s="161"/>
      <c r="H44" s="94"/>
      <c r="I44" s="12" t="s">
        <v>7</v>
      </c>
      <c r="J44" s="163">
        <f>I36</f>
        <v>0</v>
      </c>
      <c r="K44" s="166">
        <f>IF(D36&gt;0,IFERROR(VLOOKUP($D$39,$B$13:$M$33,8,FALSE)/$J$44,),0)</f>
        <v>0</v>
      </c>
      <c r="L44" s="161"/>
      <c r="M44" s="161"/>
      <c r="N44" s="161"/>
    </row>
    <row r="45" spans="1:14" x14ac:dyDescent="0.2">
      <c r="B45" s="12" t="s">
        <v>8</v>
      </c>
      <c r="C45" s="164">
        <f>J35</f>
        <v>0</v>
      </c>
      <c r="D45" s="167">
        <f>IF(D35&gt;0,IFERROR(VLOOKUP($D$38,$B$10:$M$12,9,FALSE)/$C$45,),0)</f>
        <v>0</v>
      </c>
      <c r="E45" s="167">
        <f>IF(E35&gt;0,IFERROR(VLOOKUP($E$38,$B$10:$M$12,9,FALSE)/$C$45,),0)</f>
        <v>0</v>
      </c>
      <c r="F45" s="161"/>
      <c r="G45" s="161"/>
      <c r="I45" s="12" t="s">
        <v>8</v>
      </c>
      <c r="J45" s="164">
        <f>J36</f>
        <v>0</v>
      </c>
      <c r="K45" s="167">
        <f>IF(D36&gt;0,IFERROR(VLOOKUP($D$39,$B$13:$M$33,9,FALSE)/$J$45,),0)</f>
        <v>0</v>
      </c>
      <c r="L45" s="167">
        <f>IF(E36&gt;0,IFERROR(VLOOKUP($E$39,$B$13:$M$33,9,FALSE)/$J$45,),0)</f>
        <v>0</v>
      </c>
      <c r="M45" s="161"/>
      <c r="N45" s="161"/>
    </row>
    <row r="46" spans="1:14" x14ac:dyDescent="0.2">
      <c r="B46" s="12" t="s">
        <v>6</v>
      </c>
      <c r="C46" s="164">
        <f>K35</f>
        <v>2.3779111167471134</v>
      </c>
      <c r="D46" s="167">
        <f>IF(D35&gt;0,IFERROR(VLOOKUP($D$38,$B$10:$M$12,10,FALSE)/$C$46,),0)</f>
        <v>0</v>
      </c>
      <c r="E46" s="167">
        <f>IF(E35&gt;0,IFERROR(VLOOKUP($E$38,$B$10:$M$12,10,FALSE)/$C$46,),0)</f>
        <v>0.92408014500056779</v>
      </c>
      <c r="F46" s="167">
        <f>IFERROR(VLOOKUP($F$38,$B$10:$M$12,10,FALSE)/$C$46,)</f>
        <v>0.92408014500056779</v>
      </c>
      <c r="G46" s="161"/>
      <c r="I46" s="12" t="s">
        <v>6</v>
      </c>
      <c r="J46" s="164">
        <f>K36</f>
        <v>6.5779322560383946</v>
      </c>
      <c r="K46" s="167">
        <f>IF(D36&gt;0,IFERROR(VLOOKUP($D$39,$B$13:$M$33,10,FALSE)/$J$46,),0)</f>
        <v>0</v>
      </c>
      <c r="L46" s="167">
        <f>IF(E36&gt;0,IFERROR(VLOOKUP($E$39,$B$13:$M$33,10,FALSE)/$J$46,),0)</f>
        <v>0.83017394150618706</v>
      </c>
      <c r="M46" s="167">
        <f>IFERROR(VLOOKUP($F$39,$B$13:$M$33,10,FALSE)/$J$46,)</f>
        <v>0.99702631805503428</v>
      </c>
      <c r="N46" s="161"/>
    </row>
    <row r="47" spans="1:14" x14ac:dyDescent="0.2">
      <c r="B47" s="12" t="s">
        <v>20</v>
      </c>
      <c r="C47" s="164">
        <f>L35</f>
        <v>21.277952513427746</v>
      </c>
      <c r="D47" s="167">
        <f>IF(D35&gt;0,IFERROR(VLOOKUP($D$38,$B$10:$M$12,11,FALSE)/$C$47,),0)</f>
        <v>0</v>
      </c>
      <c r="E47" s="167">
        <f>IF(E35&gt;0,IFERROR(VLOOKUP($E$38,$B$10:$M$12,11,FALSE)/$C$47,),0)</f>
        <v>0.9869005548896741</v>
      </c>
      <c r="F47" s="167">
        <f>IFERROR(VLOOKUP($F$38,$B$10:$M$12,11,FALSE)/$C$47,)</f>
        <v>0.9869005548896741</v>
      </c>
      <c r="G47" s="167">
        <f>IFERROR(VLOOKUP($G$38,$B$10:$M$12,11,FALSE)/$C$47,)</f>
        <v>0.9869005548896741</v>
      </c>
      <c r="I47" s="12" t="s">
        <v>20</v>
      </c>
      <c r="J47" s="164">
        <f>L36</f>
        <v>17.433349252646376</v>
      </c>
      <c r="K47" s="167">
        <f>IF(D36&gt;0,IFERROR(VLOOKUP($D$39,$B$13:$M$33,11,FALSE)/$J$47,),0)</f>
        <v>0</v>
      </c>
      <c r="L47" s="167">
        <f>IF(E36&gt;0,IFERROR(VLOOKUP($E$39,$B$13:$M$33,11,FALSE)/$J$47,),0)</f>
        <v>0.90492224233671947</v>
      </c>
      <c r="M47" s="167">
        <f>IFERROR(VLOOKUP($F$39,$B$13:$M$33,11,FALSE)/$J$47,)</f>
        <v>0.81221585572504673</v>
      </c>
      <c r="N47" s="167">
        <f>IFERROR(VLOOKUP($G$39,$B$13:$M$33,11,FALSE)/$J$47,)</f>
        <v>1</v>
      </c>
    </row>
    <row r="50" spans="2:10" x14ac:dyDescent="0.2">
      <c r="B50" s="1" t="s">
        <v>556</v>
      </c>
      <c r="D50" s="822" t="s">
        <v>557</v>
      </c>
      <c r="E50" s="823"/>
      <c r="G50" s="395"/>
      <c r="H50" s="394"/>
    </row>
    <row r="51" spans="2:10" x14ac:dyDescent="0.2">
      <c r="D51" s="161" t="s">
        <v>339</v>
      </c>
      <c r="E51" s="161" t="s">
        <v>340</v>
      </c>
      <c r="H51" s="393"/>
    </row>
    <row r="52" spans="2:10" x14ac:dyDescent="0.2">
      <c r="B52" s="12"/>
      <c r="C52" s="3"/>
      <c r="D52" s="170" t="s">
        <v>343</v>
      </c>
      <c r="E52" s="169" t="s">
        <v>343</v>
      </c>
    </row>
    <row r="53" spans="2:10" x14ac:dyDescent="0.2">
      <c r="B53" s="12" t="s">
        <v>7</v>
      </c>
      <c r="C53" s="3"/>
      <c r="D53" s="174">
        <f>IF('FIO A'!C9+'FIO A'!C57+'FIO A'!C33+'FIO A'!C45&lt;&gt;0,IFERROR(C44*D44*PF_AT2_AT2/(1-FPP_AT2_AT2)+C45*D45*PF_AT2_AT3/(1-FPP_AT2_AT3)+C46*D46*PF_AT2_MT/(1-FPP_AT2_MT)+C47*D47*PF_AT2_BT/(1-FPP_AT2_BT),),0)</f>
        <v>0</v>
      </c>
      <c r="E53" s="174">
        <f>IF('FIO A'!D9+'FIO A'!D57+'FIO A'!C33+'FIO A'!C45&lt;&gt;0,IFERROR(J44*K44*PF_AT2_AT2/(1-FPP_AT2_AT2)+J45*K45*PF_AT2_AT3/(1-FPP_AT2_AT3)+J46*K46*PF_AT2_MT/(1-FPP_AT2_MT)+J47*K47*PF_AT2_BT/(1-FPP_AT2_BT),),0)</f>
        <v>0</v>
      </c>
      <c r="I53" s="76"/>
      <c r="J53" s="76"/>
    </row>
    <row r="54" spans="2:10" x14ac:dyDescent="0.2">
      <c r="B54" s="12" t="s">
        <v>8</v>
      </c>
      <c r="C54" s="3"/>
      <c r="D54" s="174">
        <f>IF('FIO A'!C10+'FIO A'!C58+'FIO A'!C34+'FIO A'!C46&lt;&gt;0,IFERROR(C45*E45*PF_AT3_AT3/(1-FPP_AT3_AT3)+C46*E46*PF_AT3_MT/(1-FPP_AT3_MT)+C47*E47*PF_AT3_BT/(1-FPP_AT3_BT),),0)</f>
        <v>7.2118523564174266</v>
      </c>
      <c r="E54" s="174">
        <f>IF('FIO A'!D10+'FIO A'!D58+'FIO A'!C34+'FIO A'!C46&lt;&gt;0,IFERROR(J45*L45*PF_AT3_AT3/(1-FPP_AT3_AT3)+J46*L46*PF_AT3_MT/(1-FPP_AT3_MT)+J47*L47*PF_AT3_BT/(1-FPP_AT3_BT),),0)</f>
        <v>6.6025014646289026</v>
      </c>
      <c r="I54" s="76"/>
      <c r="J54" s="76"/>
    </row>
    <row r="55" spans="2:10" x14ac:dyDescent="0.2">
      <c r="B55" s="12" t="s">
        <v>6</v>
      </c>
      <c r="C55" s="3"/>
      <c r="D55" s="174">
        <f>IF('FIO A'!C11+'FIO A'!C59+'FIO A'!C35+'FIO A'!C47&lt;&gt;0,IFERROR(C46*F46*PF_MT_MT/(1-FPP_MT_MT)+C47*F47*PF_MT_BT/(1-FPP_MT_BT),),0)</f>
        <v>24.38436032624637</v>
      </c>
      <c r="E55" s="174">
        <f>IF('FIO A'!D11+'FIO A'!D59+'FIO A'!C35+'FIO A'!C47&lt;&gt;0,IFERROR(J46*M46*PF_MT_MT/(1-FPP_MT_MT)+J47*M47*PF_MT_BT/(1-FPP_MT_BT),),0)</f>
        <v>21.609122573234092</v>
      </c>
      <c r="I55" s="76"/>
      <c r="J55" s="76"/>
    </row>
    <row r="56" spans="2:10" x14ac:dyDescent="0.2">
      <c r="B56" s="12" t="s">
        <v>20</v>
      </c>
      <c r="C56" s="3"/>
      <c r="D56" s="174">
        <f>IF('FIO A'!C12+'FIO A'!C60&lt;&gt;0,IFERROR(C47*G47*PF_BT_BT/(1-FPP_BT_BT),),0)</f>
        <v>0</v>
      </c>
      <c r="E56" s="174">
        <f>IF('FIO A'!D12+'FIO A'!D60&lt;&gt;0,IFERROR(J47*N47*PF_BT_BT/(1-FPP_BT_BT),),0)</f>
        <v>0</v>
      </c>
      <c r="I56" s="76"/>
      <c r="J56" s="76"/>
    </row>
    <row r="58" spans="2:10" x14ac:dyDescent="0.2">
      <c r="B58" s="820" t="s">
        <v>738</v>
      </c>
      <c r="C58" s="820"/>
    </row>
    <row r="59" spans="2:10" x14ac:dyDescent="0.2">
      <c r="B59" s="821">
        <f>ROUND(IFERROR(AVERAGE(M10:M33)/MAX(M10:M33),0),3)</f>
        <v>0.749</v>
      </c>
      <c r="C59" s="821"/>
    </row>
  </sheetData>
  <mergeCells count="6">
    <mergeCell ref="B58:C58"/>
    <mergeCell ref="B59:C59"/>
    <mergeCell ref="B8:C8"/>
    <mergeCell ref="D42:G42"/>
    <mergeCell ref="K42:N42"/>
    <mergeCell ref="D50:E50"/>
  </mergeCells>
  <conditionalFormatting sqref="C10:C33">
    <cfRule type="cellIs" dxfId="77" priority="26" operator="equal">
      <formula>"P"</formula>
    </cfRule>
  </conditionalFormatting>
  <conditionalFormatting sqref="N10:N33">
    <cfRule type="cellIs" dxfId="76" priority="20" operator="equal">
      <formula>"P"</formula>
    </cfRule>
  </conditionalFormatting>
  <conditionalFormatting sqref="B10:B33">
    <cfRule type="cellIs" dxfId="75" priority="1" operator="equal">
      <formula>"P"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E171F9CE-5226-4C17-BF34-1782A7E3D8F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$D$35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D10:D12</xm:sqref>
        </x14:conditionalFormatting>
        <x14:conditionalFormatting xmlns:xm="http://schemas.microsoft.com/office/excel/2006/main">
          <x14:cfRule type="iconSet" priority="18" id="{971233BB-8C60-4AA0-A3E5-615B85F9D98F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$D$36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D13:D33</xm:sqref>
        </x14:conditionalFormatting>
        <x14:conditionalFormatting xmlns:xm="http://schemas.microsoft.com/office/excel/2006/main">
          <x14:cfRule type="iconSet" priority="17" id="{24103E92-EF80-4D24-A651-3935BEB946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$E$35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E10:E12</xm:sqref>
        </x14:conditionalFormatting>
        <x14:conditionalFormatting xmlns:xm="http://schemas.microsoft.com/office/excel/2006/main">
          <x14:cfRule type="iconSet" priority="16" id="{7E40B41E-2C43-4CCE-952C-765BF328D749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$E$36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E13:E33</xm:sqref>
        </x14:conditionalFormatting>
        <x14:conditionalFormatting xmlns:xm="http://schemas.microsoft.com/office/excel/2006/main">
          <x14:cfRule type="iconSet" priority="15" id="{C56C6F25-7A1E-4A81-A3CD-76C53B172BC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$F$35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F10:F12</xm:sqref>
        </x14:conditionalFormatting>
        <x14:conditionalFormatting xmlns:xm="http://schemas.microsoft.com/office/excel/2006/main">
          <x14:cfRule type="iconSet" priority="14" id="{4F27DDAE-4816-441C-B772-A23186E67908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$F$36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F13:F33</xm:sqref>
        </x14:conditionalFormatting>
        <x14:conditionalFormatting xmlns:xm="http://schemas.microsoft.com/office/excel/2006/main">
          <x14:cfRule type="iconSet" priority="13" id="{D3F413BE-470D-4950-8385-E8DC843EE6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$G$35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G10:G12</xm:sqref>
        </x14:conditionalFormatting>
        <x14:conditionalFormatting xmlns:xm="http://schemas.microsoft.com/office/excel/2006/main">
          <x14:cfRule type="iconSet" priority="12" id="{84B7A3CF-C6C7-4793-9503-B26960CB5E93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$G$36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G13:G33</xm:sqref>
        </x14:conditionalFormatting>
        <x14:conditionalFormatting xmlns:xm="http://schemas.microsoft.com/office/excel/2006/main">
          <x14:cfRule type="iconSet" priority="11" id="{16585FDF-956A-4FBD-B5AE-D83FE274C31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$I$35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I10:I12</xm:sqref>
        </x14:conditionalFormatting>
        <x14:conditionalFormatting xmlns:xm="http://schemas.microsoft.com/office/excel/2006/main">
          <x14:cfRule type="iconSet" priority="10" id="{F9EFB855-69F2-4168-AB95-C656DA83A6FA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$I$36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I13:I33</xm:sqref>
        </x14:conditionalFormatting>
        <x14:conditionalFormatting xmlns:xm="http://schemas.microsoft.com/office/excel/2006/main">
          <x14:cfRule type="iconSet" priority="9" id="{D7468478-CE2B-4952-AE67-D700A801369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$J$35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J10:J12</xm:sqref>
        </x14:conditionalFormatting>
        <x14:conditionalFormatting xmlns:xm="http://schemas.microsoft.com/office/excel/2006/main">
          <x14:cfRule type="iconSet" priority="8" id="{F7839D66-973D-4088-A24F-B9CDF03F55F7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$J$36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J13:J33</xm:sqref>
        </x14:conditionalFormatting>
        <x14:conditionalFormatting xmlns:xm="http://schemas.microsoft.com/office/excel/2006/main">
          <x14:cfRule type="iconSet" priority="7" id="{6653686A-7B1E-49DB-BF7D-796EB271D2D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$K$35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K10:K12</xm:sqref>
        </x14:conditionalFormatting>
        <x14:conditionalFormatting xmlns:xm="http://schemas.microsoft.com/office/excel/2006/main">
          <x14:cfRule type="iconSet" priority="6" id="{D5BB2A16-A4CD-4F9D-9EE8-A01C5C1EDD8D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$K$36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K13:K33</xm:sqref>
        </x14:conditionalFormatting>
        <x14:conditionalFormatting xmlns:xm="http://schemas.microsoft.com/office/excel/2006/main">
          <x14:cfRule type="iconSet" priority="5" id="{7C0EFF64-365F-4CCA-B325-D62BC246C71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$L$35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L10:L12</xm:sqref>
        </x14:conditionalFormatting>
        <x14:conditionalFormatting xmlns:xm="http://schemas.microsoft.com/office/excel/2006/main">
          <x14:cfRule type="iconSet" priority="4" id="{B1D48C0C-205A-4951-BFAB-3DE7BF36AFC9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$L$36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L13:L33</xm:sqref>
        </x14:conditionalFormatting>
        <x14:conditionalFormatting xmlns:xm="http://schemas.microsoft.com/office/excel/2006/main">
          <x14:cfRule type="iconSet" priority="3" id="{A122F701-F8EE-47E2-9741-BB73D00D75E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$M$35</xm:f>
              </x14:cfvo>
              <x14:cfIcon iconSet="NoIcons" iconId="0"/>
              <x14:cfIcon iconSet="NoIcons" iconId="0"/>
              <x14:cfIcon iconSet="3Symbols" iconId="2"/>
            </x14:iconSet>
          </x14:cfRule>
          <xm:sqref>M10:M12</xm:sqref>
        </x14:conditionalFormatting>
        <x14:conditionalFormatting xmlns:xm="http://schemas.microsoft.com/office/excel/2006/main">
          <x14:cfRule type="iconSet" priority="2" id="{5CA2A253-6870-449E-9F3F-6EF03B833A07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$M$36</xm:f>
              </x14:cfvo>
              <x14:cfIcon iconSet="NoIcons" iconId="0"/>
              <x14:cfIcon iconSet="NoIcons" iconId="0"/>
              <x14:cfIcon iconSet="3Symbols" iconId="2"/>
            </x14:iconSet>
          </x14:cfRule>
          <xm:sqref>M13:M33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4">
    <tabColor theme="9" tint="-0.249977111117893"/>
  </sheetPr>
  <dimension ref="B1:AA78"/>
  <sheetViews>
    <sheetView showGridLines="0" topLeftCell="D55" workbookViewId="0">
      <selection activeCell="F80" sqref="F80"/>
    </sheetView>
  </sheetViews>
  <sheetFormatPr defaultColWidth="9.140625" defaultRowHeight="12.75" x14ac:dyDescent="0.2"/>
  <cols>
    <col min="1" max="1" width="0.5703125" style="2" customWidth="1"/>
    <col min="2" max="2" width="18" style="2" customWidth="1"/>
    <col min="3" max="4" width="12.85546875" style="2" customWidth="1"/>
    <col min="5" max="6" width="14.5703125" style="2" bestFit="1" customWidth="1"/>
    <col min="7" max="8" width="12.85546875" style="2" customWidth="1"/>
    <col min="9" max="9" width="2.140625" style="2" customWidth="1"/>
    <col min="10" max="15" width="12.85546875" style="2" customWidth="1"/>
    <col min="16" max="16" width="11.140625" style="2" customWidth="1"/>
    <col min="17" max="17" width="7.5703125" style="2" bestFit="1" customWidth="1"/>
    <col min="18" max="19" width="6.7109375" style="2" customWidth="1"/>
    <col min="20" max="20" width="13.5703125" style="2" bestFit="1" customWidth="1"/>
    <col min="21" max="21" width="1.85546875" style="2" customWidth="1"/>
    <col min="22" max="23" width="6.7109375" style="2" customWidth="1"/>
    <col min="24" max="24" width="7.5703125" style="2" bestFit="1" customWidth="1"/>
    <col min="25" max="26" width="6.7109375" style="2" customWidth="1"/>
    <col min="27" max="27" width="7.5703125" style="2" bestFit="1" customWidth="1"/>
    <col min="28" max="16384" width="9.140625" style="2"/>
  </cols>
  <sheetData>
    <row r="1" spans="2:27" x14ac:dyDescent="0.2">
      <c r="J1" s="22"/>
    </row>
    <row r="2" spans="2:27" x14ac:dyDescent="0.2">
      <c r="B2" s="1" t="s">
        <v>558</v>
      </c>
      <c r="C2" s="1"/>
      <c r="E2" s="24" t="s">
        <v>62</v>
      </c>
      <c r="F2" s="9">
        <v>2</v>
      </c>
    </row>
    <row r="3" spans="2:27" x14ac:dyDescent="0.2">
      <c r="B3" s="1"/>
      <c r="C3" s="1"/>
      <c r="E3" s="24" t="s">
        <v>63</v>
      </c>
      <c r="F3" s="31">
        <v>44714</v>
      </c>
    </row>
    <row r="4" spans="2:27" x14ac:dyDescent="0.2">
      <c r="B4" s="1" t="s">
        <v>559</v>
      </c>
      <c r="C4" s="1"/>
    </row>
    <row r="5" spans="2:27" ht="3" customHeight="1" x14ac:dyDescent="0.2">
      <c r="B5" s="1"/>
      <c r="C5" s="1"/>
    </row>
    <row r="6" spans="2:27" x14ac:dyDescent="0.2">
      <c r="B6" s="1"/>
      <c r="C6" s="828" t="s">
        <v>345</v>
      </c>
      <c r="D6" s="829"/>
      <c r="E6" s="828" t="s">
        <v>560</v>
      </c>
      <c r="F6" s="829"/>
      <c r="G6" s="178"/>
      <c r="H6" s="178"/>
      <c r="J6" s="828" t="s">
        <v>561</v>
      </c>
      <c r="K6" s="829"/>
      <c r="O6" s="830" t="s">
        <v>574</v>
      </c>
      <c r="P6" s="830"/>
      <c r="Q6" s="830"/>
      <c r="R6" s="830"/>
      <c r="S6" s="830"/>
      <c r="T6" s="22"/>
      <c r="V6" s="830" t="s">
        <v>575</v>
      </c>
      <c r="W6" s="830"/>
      <c r="X6" s="830"/>
      <c r="Y6" s="830"/>
      <c r="Z6" s="830"/>
    </row>
    <row r="7" spans="2:27" ht="63.75" x14ac:dyDescent="0.2">
      <c r="B7" s="1"/>
      <c r="C7" s="154" t="s">
        <v>339</v>
      </c>
      <c r="D7" s="154" t="s">
        <v>340</v>
      </c>
      <c r="E7" s="154" t="s">
        <v>339</v>
      </c>
      <c r="F7" s="154" t="s">
        <v>340</v>
      </c>
      <c r="G7" s="177" t="s">
        <v>565</v>
      </c>
      <c r="H7" s="177" t="s">
        <v>565</v>
      </c>
      <c r="J7" s="154" t="s">
        <v>339</v>
      </c>
      <c r="K7" s="154" t="s">
        <v>340</v>
      </c>
      <c r="M7" s="177" t="s">
        <v>568</v>
      </c>
      <c r="O7" s="12" t="s">
        <v>573</v>
      </c>
      <c r="P7" s="75">
        <f>J9</f>
        <v>0</v>
      </c>
      <c r="Q7" s="75">
        <f>J10</f>
        <v>20.495011918605734</v>
      </c>
      <c r="R7" s="75">
        <f>J11</f>
        <v>6.0615492070508141</v>
      </c>
      <c r="S7" s="75">
        <f>J12</f>
        <v>0</v>
      </c>
      <c r="T7" s="76">
        <f>IF(SUM(P7:S7)&lt;&gt;0,(SUM($P$9:$S$9)*'FIO B'!$C$7+SUM('FIO A'!$P$10:$S$10)*'FIO B'!$C$8+SUM('FIO A'!$P$11:$S$11)*'FIO B'!$C$9+SUM('FIO A'!$P$12:$S$12)*'FIO B'!$C$10)/(SUM($P$9:$S$9)*'FIO B'!$E$7+SUM('FIO A'!$P$10:$S$10)*'FIO B'!$E$8+SUM('FIO A'!$P$11:$S$11)*'FIO B'!$E$9+SUM('FIO A'!$P$12:$S$12)*SUM('FIO B'!$E$10:$E$11)),0)</f>
        <v>0.83299573759495282</v>
      </c>
      <c r="V7" s="12" t="s">
        <v>573</v>
      </c>
      <c r="W7" s="75">
        <f>K9</f>
        <v>0</v>
      </c>
      <c r="X7" s="75">
        <f>K10</f>
        <v>25.785227146415913</v>
      </c>
      <c r="Y7" s="75">
        <f>K11</f>
        <v>8.4937156692952467</v>
      </c>
      <c r="Z7" s="75">
        <f>K12</f>
        <v>0</v>
      </c>
      <c r="AA7" s="76">
        <f>IF(SUM(W7:Z7)&lt;&gt;0,('FIO B'!$D$7*SUM('FIO A'!$W$9:$Z$9)+'FIO B'!$D$8*SUM('FIO A'!$W$10:$Z$10)+'FIO B'!$D$9*SUM('FIO A'!$W$11:$Z$11)+'FIO B'!$D$10*SUM('FIO A'!$W$12:$Z$12))/('FIO B'!$F$7*SUM('FIO A'!$W$9:$Z$9)+'FIO B'!$F$8*SUM('FIO A'!$W$10:$Z$10)+'FIO B'!$F$9*SUM('FIO A'!$W$11:$Z$11)+SUM('FIO B'!$F$10:$F$11)*SUM('FIO A'!$W$12:$Z$12)),0)</f>
        <v>0.60455398873309885</v>
      </c>
    </row>
    <row r="8" spans="2:27" x14ac:dyDescent="0.2">
      <c r="B8" s="1"/>
      <c r="C8" s="175" t="s">
        <v>667</v>
      </c>
      <c r="D8" s="175" t="s">
        <v>667</v>
      </c>
      <c r="E8" s="175" t="s">
        <v>3249</v>
      </c>
      <c r="F8" s="175" t="s">
        <v>3249</v>
      </c>
      <c r="G8" s="175" t="s">
        <v>3247</v>
      </c>
      <c r="H8" s="175" t="s">
        <v>3248</v>
      </c>
      <c r="J8" s="175" t="s">
        <v>502</v>
      </c>
      <c r="K8" s="175" t="s">
        <v>502</v>
      </c>
      <c r="M8" s="175" t="s">
        <v>3249</v>
      </c>
      <c r="O8" s="181"/>
      <c r="P8" s="181" t="s">
        <v>7</v>
      </c>
      <c r="Q8" s="181" t="s">
        <v>8</v>
      </c>
      <c r="R8" s="181" t="s">
        <v>6</v>
      </c>
      <c r="S8" s="181" t="s">
        <v>20</v>
      </c>
      <c r="T8" s="12" t="s">
        <v>668</v>
      </c>
      <c r="V8" s="181"/>
      <c r="W8" s="181" t="s">
        <v>7</v>
      </c>
      <c r="X8" s="181" t="s">
        <v>8</v>
      </c>
      <c r="Y8" s="181" t="s">
        <v>6</v>
      </c>
      <c r="Z8" s="181" t="s">
        <v>20</v>
      </c>
      <c r="AA8" s="12" t="s">
        <v>668</v>
      </c>
    </row>
    <row r="9" spans="2:27" x14ac:dyDescent="0.2">
      <c r="B9" s="3" t="s">
        <v>7</v>
      </c>
      <c r="C9" s="17">
        <f>SUMIFS('DADOS-Diversos'!$G$71:$G$118,'DADOS-Diversos'!$F$71:$F$118,"PONTA",'DADOS-Diversos'!$C$71:$C$118,"&gt;=88",'DADOS-Diversos'!$C$71:$C$118,"&lt;=138")</f>
        <v>0</v>
      </c>
      <c r="D9" s="17">
        <f>SUMIFS('DADOS-Diversos'!$G$71:$G$118,'DADOS-Diversos'!$F$71:$F$118,"FORA PONTA",'DADOS-Diversos'!$C$71:$C$118,"&gt;=88",'DADOS-Diversos'!$C$71:$C$118,"&lt;=138")</f>
        <v>0</v>
      </c>
      <c r="E9" s="17">
        <f>SUMIFS('DADOS-Diversos'!$I$71:$I$118,'DADOS-Diversos'!$F$71:$F$118,"PONTA",'DADOS-Diversos'!$C$71:$C$118,"&gt;=88",'DADOS-Diversos'!$C$71:$C$118,"&lt;=138")</f>
        <v>0</v>
      </c>
      <c r="F9" s="17">
        <f>SUMIFS('DADOS-Diversos'!$I$71:$I$118,'DADOS-Diversos'!$F$71:$F$118,"FORA PONTA",'DADOS-Diversos'!$C$71:$C$118,"&gt;=88",'DADOS-Diversos'!$C$71:$C$118,"&lt;=138")</f>
        <v>0</v>
      </c>
      <c r="G9" s="249">
        <f>'Aux_FIO A'!$D$53</f>
        <v>0</v>
      </c>
      <c r="H9" s="249">
        <f>'Aux_FIO A'!$E$53</f>
        <v>0</v>
      </c>
      <c r="J9" s="60">
        <f t="shared" ref="J9:K12" si="0">IFERROR(E9*(1-$M$14)/G9/12000,)</f>
        <v>0</v>
      </c>
      <c r="K9" s="60">
        <f t="shared" si="0"/>
        <v>0</v>
      </c>
      <c r="M9" s="60">
        <f>'DADOS-Diversos'!G62</f>
        <v>0</v>
      </c>
      <c r="O9" s="12" t="s">
        <v>7</v>
      </c>
      <c r="P9" s="60">
        <f>1/(1-FPP_AT2_AT2)*PF_AT2_AT2*FcoinP_AT2_AT2*P7</f>
        <v>0</v>
      </c>
      <c r="Q9" s="168"/>
      <c r="R9" s="168"/>
      <c r="S9" s="168"/>
      <c r="T9" s="250">
        <f>SUM(P9:S9)*$T$7</f>
        <v>0</v>
      </c>
      <c r="V9" s="12" t="s">
        <v>7</v>
      </c>
      <c r="W9" s="60">
        <f>1/(1-FPP_AT2_AT2)*PF_AT2_AT2*FcoinFP_AT2_AT2*W7</f>
        <v>0</v>
      </c>
      <c r="X9" s="168"/>
      <c r="Y9" s="168"/>
      <c r="Z9" s="168"/>
      <c r="AA9" s="250">
        <f>SUM(W9:Z9)*$AA$7</f>
        <v>0</v>
      </c>
    </row>
    <row r="10" spans="2:27" x14ac:dyDescent="0.2">
      <c r="B10" s="3" t="s">
        <v>8</v>
      </c>
      <c r="C10" s="17">
        <f>SUMIFS('DADOS-Diversos'!$G$71:$G$118,'DADOS-Diversos'!$F$71:$F$118,"PONTA",'DADOS-Diversos'!$C$71:$C$118,"&gt;=45",'DADOS-Diversos'!$C$71:$C$118,"&lt;88")</f>
        <v>396</v>
      </c>
      <c r="D10" s="17">
        <f>SUMIFS('DADOS-Diversos'!$G$71:$G$118,'DADOS-Diversos'!$F$71:$F$118,"FORA PONTA",'DADOS-Diversos'!$C$71:$C$118,"&gt;=45",'DADOS-Diversos'!$C$71:$C$118,"&lt;88")</f>
        <v>396</v>
      </c>
      <c r="E10" s="17">
        <f>SUMIFS('DADOS-Diversos'!$I$71:$I$118,'DADOS-Diversos'!$F$71:$F$118,"PONTA",'DADOS-Diversos'!$C$71:$C$118,"&gt;=45",'DADOS-Diversos'!$C$71:$C$118,"&lt;88")</f>
        <v>1773684</v>
      </c>
      <c r="F10" s="17">
        <f>SUMIFS('DADOS-Diversos'!$I$71:$I$118,'DADOS-Diversos'!$F$71:$F$118,"FORA PONTA",'DADOS-Diversos'!$C$71:$C$118,"&gt;=45",'DADOS-Diversos'!$C$71:$C$118,"&lt;88")</f>
        <v>2042964</v>
      </c>
      <c r="G10" s="249">
        <f>'Aux_FIO A'!$D$54</f>
        <v>7.2118523564174266</v>
      </c>
      <c r="H10" s="249">
        <f>'Aux_FIO A'!$E$54</f>
        <v>6.6025014646289026</v>
      </c>
      <c r="J10" s="60">
        <f t="shared" si="0"/>
        <v>20.495011918605734</v>
      </c>
      <c r="K10" s="60">
        <f t="shared" si="0"/>
        <v>25.785227146415913</v>
      </c>
      <c r="M10" s="60">
        <f>'DADOS-Diversos'!G63</f>
        <v>0</v>
      </c>
      <c r="O10" s="12" t="s">
        <v>8</v>
      </c>
      <c r="P10" s="60">
        <f>1/(1-FPP_AT2_AT3)*PF_AT2_AT3*FcoinP_AT2_AT3*P7</f>
        <v>0</v>
      </c>
      <c r="Q10" s="60">
        <f>1/(1-FPP_AT3_AT3)*PF_AT3_AT3*FcoinP_AT3_AT3*Q7</f>
        <v>0</v>
      </c>
      <c r="R10" s="168"/>
      <c r="S10" s="168"/>
      <c r="T10" s="250">
        <f t="shared" ref="T10:T12" si="1">SUM(P10:S10)*$T$7</f>
        <v>0</v>
      </c>
      <c r="V10" s="12" t="s">
        <v>8</v>
      </c>
      <c r="W10" s="60">
        <f>1/(1-FPP_AT2_AT3)*PF_AT2_AT3*FcoinFP_AT2_AT3*W7</f>
        <v>0</v>
      </c>
      <c r="X10" s="60">
        <f>1/(1-FPP_AT3_AT3)*PF_AT3_AT3*FcoinFP_AT3_AT3*X7</f>
        <v>0</v>
      </c>
      <c r="Y10" s="168"/>
      <c r="Z10" s="168"/>
      <c r="AA10" s="250">
        <f t="shared" ref="AA10:AA12" si="2">SUM(W10:Z10)*$AA$7</f>
        <v>0</v>
      </c>
    </row>
    <row r="11" spans="2:27" x14ac:dyDescent="0.2">
      <c r="B11" s="3" t="s">
        <v>6</v>
      </c>
      <c r="C11" s="17">
        <f>SUMIFS('DADOS-Diversos'!$G$71:$G$118,'DADOS-Diversos'!$F$71:$F$118,"PONTA",'DADOS-Diversos'!$C$71:$C$118,"&lt;=44")</f>
        <v>396</v>
      </c>
      <c r="D11" s="17">
        <f>SUMIFS('DADOS-Diversos'!$G$71:$G$118,'DADOS-Diversos'!$F$71:$F$118,"FORA PONTA",'DADOS-Diversos'!$C$71:$C$118,"&lt;=44")</f>
        <v>426.92399999999998</v>
      </c>
      <c r="E11" s="17">
        <f>SUMIFS('DADOS-Diversos'!$I$71:$I$118,'DADOS-Diversos'!$F$71:$F$118,"PONTA",'DADOS-Diversos'!$C$71:$C$118,"&lt;=44")</f>
        <v>1773684</v>
      </c>
      <c r="F11" s="17">
        <f>SUMIFS('DADOS-Diversos'!$I$71:$I$118,'DADOS-Diversos'!$F$71:$F$118,"FORA PONTA",'DADOS-Diversos'!$C$71:$C$118,"&lt;=44")</f>
        <v>2202500.9160000002</v>
      </c>
      <c r="G11" s="249">
        <f>'Aux_FIO A'!$D$55</f>
        <v>24.38436032624637</v>
      </c>
      <c r="H11" s="249">
        <f>'Aux_FIO A'!$E$55</f>
        <v>21.609122573234092</v>
      </c>
      <c r="J11" s="60">
        <f t="shared" si="0"/>
        <v>6.0615492070508141</v>
      </c>
      <c r="K11" s="60">
        <f t="shared" si="0"/>
        <v>8.4937156692952467</v>
      </c>
      <c r="M11" s="60"/>
      <c r="O11" s="12" t="s">
        <v>6</v>
      </c>
      <c r="P11" s="60">
        <f>1/(1-FPP_AT2_MT)*PF_AT2_MT*FcoinP_AT2_MT*P7</f>
        <v>0</v>
      </c>
      <c r="Q11" s="60">
        <f>1/(1-FPP_AT3_MT)*PF_AT3_MT*FcoinP_AT3_MT*Q7</f>
        <v>5.8881686472118426</v>
      </c>
      <c r="R11" s="60">
        <f>1/(1-FPP_MT_MT)*PF_MT_MT*FcoinP_MT_MT*R7</f>
        <v>5.7008919359259735</v>
      </c>
      <c r="S11" s="168"/>
      <c r="T11" s="250">
        <f t="shared" si="1"/>
        <v>9.6536380684834793</v>
      </c>
      <c r="V11" s="12" t="s">
        <v>6</v>
      </c>
      <c r="W11" s="60">
        <f>1/(1-FPP_AT2_MT)*PF_AT2_MT*FcoinFP_AT2_MT*W7</f>
        <v>0</v>
      </c>
      <c r="X11" s="60">
        <f>1/(1-FPP_AT3_MT)*PF_AT3_MT*FcoinFP_AT3_MT*X7</f>
        <v>6.6552210490685546</v>
      </c>
      <c r="Y11" s="60">
        <f>1/(1-FPP_MT_MT)*PF_MT_MT*FcoinFP_MT_MT*Y7</f>
        <v>8.6189403634500437</v>
      </c>
      <c r="Z11" s="168"/>
      <c r="AA11" s="250">
        <f t="shared" si="2"/>
        <v>9.234055206491302</v>
      </c>
    </row>
    <row r="12" spans="2:27" x14ac:dyDescent="0.2">
      <c r="B12" s="3" t="s">
        <v>20</v>
      </c>
      <c r="C12" s="17"/>
      <c r="D12" s="17"/>
      <c r="E12" s="17"/>
      <c r="F12" s="17"/>
      <c r="G12" s="249">
        <f>'Aux_FIO A'!$D$56</f>
        <v>0</v>
      </c>
      <c r="H12" s="249">
        <f>'Aux_FIO A'!$E$56</f>
        <v>0</v>
      </c>
      <c r="J12" s="60">
        <f t="shared" si="0"/>
        <v>0</v>
      </c>
      <c r="K12" s="60">
        <f t="shared" si="0"/>
        <v>0</v>
      </c>
      <c r="M12" s="60"/>
      <c r="O12" s="12" t="s">
        <v>20</v>
      </c>
      <c r="P12" s="60">
        <f>1/(1-FPP_AT2_BT)*PF_AT2_BT*FcoinP_AT2_BT*P7</f>
        <v>0</v>
      </c>
      <c r="Q12" s="60">
        <f>1/(1-FPP_AT3_BT)*PF_AT3_BT*FcoinP_AT3_BT*Q7</f>
        <v>6.2884555378189404</v>
      </c>
      <c r="R12" s="60">
        <f>1/(1-FPP_MT_BT)*PF_MT_BT*FcoinP_MT_BT*R7</f>
        <v>6.3093845897751137</v>
      </c>
      <c r="S12" s="60">
        <f>1/(1-FPP_BT_BT)*PF_BT_BT*FcoinP_BT_BT*S7</f>
        <v>0</v>
      </c>
      <c r="T12" s="250">
        <f t="shared" si="1"/>
        <v>10.493947129188504</v>
      </c>
      <c r="V12" s="12" t="s">
        <v>20</v>
      </c>
      <c r="W12" s="60">
        <f>1/(1-FPP_AT2_BT)*PF_AT2_BT*FcoinFP_AT2_BT*W7</f>
        <v>0</v>
      </c>
      <c r="X12" s="60">
        <f>1/(1-FPP_AT3_BT)*PF_AT3_BT*FcoinFP_AT3_BT*X7</f>
        <v>7.2544526560820364</v>
      </c>
      <c r="Y12" s="60">
        <f>1/(1-FPP_MT_BT)*PF_MT_BT*FcoinFP_MT_BT*Y7</f>
        <v>7.276108298646939</v>
      </c>
      <c r="Z12" s="60">
        <f>1/(1-FPP_BT_BT)*PF_BT_BT*FcoinFP_BT_BT*Z7</f>
        <v>0</v>
      </c>
      <c r="AA12" s="250">
        <f t="shared" si="2"/>
        <v>8.7845085837108279</v>
      </c>
    </row>
    <row r="13" spans="2:27" x14ac:dyDescent="0.2">
      <c r="B13" s="1"/>
      <c r="C13" s="1"/>
      <c r="L13" s="180" t="s">
        <v>569</v>
      </c>
      <c r="M13" s="75">
        <f>SUM(M9:M12)</f>
        <v>0</v>
      </c>
    </row>
    <row r="14" spans="2:27" x14ac:dyDescent="0.2">
      <c r="B14" s="1"/>
      <c r="C14" s="1"/>
      <c r="L14" s="180" t="s">
        <v>571</v>
      </c>
      <c r="M14" s="179">
        <f>IFERROR(M13/SUM(E9:E12,F9:F12),)</f>
        <v>0</v>
      </c>
      <c r="R14" s="16"/>
      <c r="S14" s="16"/>
      <c r="T14" s="16" t="str">
        <f>IF(ROUND((T9*'FIO B'!$E$7+'FIO B'!$F$7*'FIO A'!AA9+'FIO A'!T10*'FIO B'!$E$8+'FIO B'!$F$8*'FIO A'!AA10+'FIO A'!T11*'FIO B'!$E$9+'FIO B'!$F$9*'FIO A'!AA11+'FIO A'!T12*SUM('FIO B'!$E$10:$E$11)+SUM('FIO B'!$F$10:$F$11)*'FIO A'!AA12)-(SUM('FIO A'!E9:F12)-M13),3)&lt;&gt;0,"ERRO","OK")</f>
        <v>OK</v>
      </c>
      <c r="U14" s="16"/>
    </row>
    <row r="15" spans="2:27" x14ac:dyDescent="0.2">
      <c r="B15" s="1"/>
      <c r="C15" s="1"/>
      <c r="L15" s="180"/>
      <c r="M15" s="182"/>
      <c r="R15" s="16"/>
      <c r="S15" s="16"/>
      <c r="T15" s="16"/>
      <c r="U15" s="16"/>
    </row>
    <row r="16" spans="2:27" x14ac:dyDescent="0.2">
      <c r="B16" s="1" t="s">
        <v>562</v>
      </c>
      <c r="C16" s="1"/>
    </row>
    <row r="17" spans="2:27" ht="3" customHeight="1" x14ac:dyDescent="0.2">
      <c r="B17" s="1"/>
      <c r="C17" s="1"/>
    </row>
    <row r="18" spans="2:27" x14ac:dyDescent="0.2">
      <c r="B18" s="1"/>
      <c r="C18" s="828" t="s">
        <v>345</v>
      </c>
      <c r="D18" s="829"/>
      <c r="E18" s="828" t="s">
        <v>647</v>
      </c>
      <c r="F18" s="829"/>
      <c r="G18" s="178"/>
      <c r="H18" s="178"/>
      <c r="J18" s="828" t="s">
        <v>561</v>
      </c>
      <c r="K18" s="829"/>
      <c r="O18" s="830" t="s">
        <v>576</v>
      </c>
      <c r="P18" s="830"/>
      <c r="Q18" s="830"/>
      <c r="R18" s="830"/>
      <c r="S18" s="830"/>
      <c r="T18" s="22"/>
      <c r="V18" s="830" t="s">
        <v>577</v>
      </c>
      <c r="W18" s="830"/>
      <c r="X18" s="830"/>
      <c r="Y18" s="830"/>
      <c r="Z18" s="830"/>
    </row>
    <row r="19" spans="2:27" ht="63.75" x14ac:dyDescent="0.2">
      <c r="B19" s="1"/>
      <c r="C19" s="154" t="s">
        <v>339</v>
      </c>
      <c r="D19" s="154" t="s">
        <v>340</v>
      </c>
      <c r="E19" s="154" t="s">
        <v>339</v>
      </c>
      <c r="F19" s="154" t="s">
        <v>340</v>
      </c>
      <c r="G19" s="177" t="s">
        <v>565</v>
      </c>
      <c r="H19" s="177" t="s">
        <v>565</v>
      </c>
      <c r="J19" s="154" t="s">
        <v>339</v>
      </c>
      <c r="K19" s="154" t="s">
        <v>340</v>
      </c>
      <c r="M19" s="177" t="s">
        <v>568</v>
      </c>
      <c r="O19" s="12" t="s">
        <v>573</v>
      </c>
      <c r="P19" s="75">
        <f>J21</f>
        <v>0</v>
      </c>
      <c r="Q19" s="75">
        <f>J22</f>
        <v>3.6011552533919877</v>
      </c>
      <c r="R19" s="75">
        <f>J23</f>
        <v>8.7181290448361999</v>
      </c>
      <c r="S19" s="75">
        <f>J24</f>
        <v>0</v>
      </c>
      <c r="T19" s="76">
        <f>IF(SUM(P19:S19)&lt;&gt;0,(SUM($P$21:$S$21)*'FIO B'!$C$7+SUM('FIO A'!$P$22:$S$22)*'FIO B'!$C$8+SUM('FIO A'!$P$23:$S$23)*'FIO B'!$C$9+SUM('FIO A'!$P$24:$S$24)*'FIO B'!$C$10)/(SUM($P$21:$S$21)*'FIO B'!$E$7+SUM('FIO A'!$P$22:$S$22)*'FIO B'!$E$8+SUM('FIO A'!$P$23:$S$23)*'FIO B'!$E$9+SUM('FIO A'!$P$24:$S$24)*SUM('FIO B'!$E$10:$E$11)),0)</f>
        <v>0.83385571275798953</v>
      </c>
      <c r="V19" s="12" t="s">
        <v>573</v>
      </c>
      <c r="W19" s="75">
        <f>K21</f>
        <v>0</v>
      </c>
      <c r="X19" s="75">
        <f>K22</f>
        <v>3.9335091615098512</v>
      </c>
      <c r="Y19" s="75">
        <f>K23</f>
        <v>10.606031467648762</v>
      </c>
      <c r="Z19" s="75">
        <f>K24</f>
        <v>0</v>
      </c>
      <c r="AA19" s="76">
        <f>IF(SUM(W19:Z19)&lt;&gt;0,('FIO B'!$D$7*SUM('FIO A'!$W$21:$Z$21)+'FIO B'!$D$8*SUM('FIO A'!$W$22:$Z$22)+'FIO B'!$D$9*SUM('FIO A'!$W$23:$Z$23)+'FIO B'!$D$10*SUM('FIO A'!$W$24:$Z$24))/('FIO B'!$F$7*SUM('FIO A'!$W$21:$Z$21)+'FIO B'!$F$8*SUM('FIO A'!$W$22:$Z$22)+'FIO B'!$F$9*SUM('FIO A'!$W$23:$Z$23)+SUM('FIO B'!$F$10:$F$11)*SUM('FIO A'!$W$24:$Z$24)),0)</f>
        <v>0.60217486516198282</v>
      </c>
    </row>
    <row r="20" spans="2:27" x14ac:dyDescent="0.2">
      <c r="B20" s="1"/>
      <c r="C20" s="175" t="s">
        <v>667</v>
      </c>
      <c r="D20" s="175" t="s">
        <v>667</v>
      </c>
      <c r="E20" s="175" t="s">
        <v>3249</v>
      </c>
      <c r="F20" s="175" t="s">
        <v>3249</v>
      </c>
      <c r="G20" s="175" t="s">
        <v>3247</v>
      </c>
      <c r="H20" s="175" t="s">
        <v>3248</v>
      </c>
      <c r="J20" s="175" t="s">
        <v>502</v>
      </c>
      <c r="K20" s="175" t="s">
        <v>502</v>
      </c>
      <c r="M20" s="175" t="s">
        <v>3249</v>
      </c>
      <c r="O20" s="181"/>
      <c r="P20" s="181" t="s">
        <v>7</v>
      </c>
      <c r="Q20" s="181" t="s">
        <v>8</v>
      </c>
      <c r="R20" s="181" t="s">
        <v>6</v>
      </c>
      <c r="S20" s="181" t="s">
        <v>20</v>
      </c>
      <c r="T20" s="12" t="s">
        <v>668</v>
      </c>
      <c r="V20" s="181"/>
      <c r="W20" s="181" t="s">
        <v>7</v>
      </c>
      <c r="X20" s="181" t="s">
        <v>8</v>
      </c>
      <c r="Y20" s="181" t="s">
        <v>6</v>
      </c>
      <c r="Z20" s="181" t="s">
        <v>20</v>
      </c>
      <c r="AA20" s="12" t="s">
        <v>668</v>
      </c>
    </row>
    <row r="21" spans="2:27" x14ac:dyDescent="0.2">
      <c r="B21" s="3" t="s">
        <v>7</v>
      </c>
      <c r="C21" s="176">
        <f t="shared" ref="C21:D24" si="3">C9</f>
        <v>0</v>
      </c>
      <c r="D21" s="176">
        <f t="shared" si="3"/>
        <v>0</v>
      </c>
      <c r="E21" s="17">
        <f>SUMIFS('DADOS-Diversos'!$K$71:$K$118,'DADOS-Diversos'!$F$71:$F$118,"PONTA",'DADOS-Diversos'!$C$71:$C$118,"&gt;=88",'DADOS-Diversos'!$C$71:$C$118,"&lt;=138")</f>
        <v>0</v>
      </c>
      <c r="F21" s="17">
        <f>SUMIFS('DADOS-Diversos'!$K$71:$K$118,'DADOS-Diversos'!$F$71:$F$118,"FORA PONTA",'DADOS-Diversos'!$C$71:$C$118,"&gt;=88",'DADOS-Diversos'!$C$71:$C$118,"&lt;=138")</f>
        <v>0</v>
      </c>
      <c r="G21" s="176">
        <f>'Aux_FIO A'!$D$53</f>
        <v>0</v>
      </c>
      <c r="H21" s="176">
        <f>'Aux_FIO A'!$E$53</f>
        <v>0</v>
      </c>
      <c r="J21" s="60">
        <f t="shared" ref="J21:K24" si="4">IFERROR(E21*(1-$M$26)/G21/12000,)</f>
        <v>0</v>
      </c>
      <c r="K21" s="60">
        <f t="shared" si="4"/>
        <v>0</v>
      </c>
      <c r="M21" s="60">
        <f>'DADOS-Diversos'!E62</f>
        <v>0</v>
      </c>
      <c r="O21" s="12" t="s">
        <v>7</v>
      </c>
      <c r="P21" s="60">
        <f>1/(1-FPP_AT2_AT2)*PF_AT2_AT2*FcoinP_AT2_AT2*P19</f>
        <v>0</v>
      </c>
      <c r="Q21" s="168"/>
      <c r="R21" s="168"/>
      <c r="S21" s="168"/>
      <c r="T21" s="250">
        <f>SUM(P21:S21)*$T$19</f>
        <v>0</v>
      </c>
      <c r="V21" s="12" t="s">
        <v>7</v>
      </c>
      <c r="W21" s="60">
        <f>1/(1-FPP_AT2_AT2)*PF_AT2_AT2*FcoinFP_AT2_AT2*W19</f>
        <v>0</v>
      </c>
      <c r="X21" s="168"/>
      <c r="Y21" s="168"/>
      <c r="Z21" s="168"/>
      <c r="AA21" s="250">
        <f>SUM(W21:Z21)*$AA$19</f>
        <v>0</v>
      </c>
    </row>
    <row r="22" spans="2:27" x14ac:dyDescent="0.2">
      <c r="B22" s="3" t="s">
        <v>8</v>
      </c>
      <c r="C22" s="176">
        <f t="shared" si="3"/>
        <v>396</v>
      </c>
      <c r="D22" s="176">
        <f t="shared" si="3"/>
        <v>396</v>
      </c>
      <c r="E22" s="17">
        <f>SUMIFS('DADOS-Diversos'!$K$71:$K$118,'DADOS-Diversos'!$F$71:$F$118,"PONTA",'DADOS-Diversos'!$C$71:$C$118,"&gt;=45",'DADOS-Diversos'!$C$71:$C$118,"&lt;88")</f>
        <v>311652</v>
      </c>
      <c r="F22" s="17">
        <f>SUMIFS('DADOS-Diversos'!$K$71:$K$118,'DADOS-Diversos'!$F$71:$F$118,"FORA PONTA",'DADOS-Diversos'!$C$71:$C$118,"&gt;=45",'DADOS-Diversos'!$C$71:$C$118,"&lt;88")</f>
        <v>311652</v>
      </c>
      <c r="G22" s="176">
        <f>'Aux_FIO A'!$D$54</f>
        <v>7.2118523564174266</v>
      </c>
      <c r="H22" s="176">
        <f>'Aux_FIO A'!$E$54</f>
        <v>6.6025014646289026</v>
      </c>
      <c r="J22" s="60">
        <f t="shared" si="4"/>
        <v>3.6011552533919877</v>
      </c>
      <c r="K22" s="60">
        <f t="shared" si="4"/>
        <v>3.9335091615098512</v>
      </c>
      <c r="M22" s="60">
        <f>'DADOS-Diversos'!E63</f>
        <v>0</v>
      </c>
      <c r="O22" s="12" t="s">
        <v>8</v>
      </c>
      <c r="P22" s="60">
        <f>1/(1-FPP_AT2_AT3)*PF_AT2_AT3*FcoinP_AT2_AT3*P19</f>
        <v>0</v>
      </c>
      <c r="Q22" s="60">
        <f>1/(1-FPP_AT3_AT3)*PF_AT3_AT3*FcoinP_AT3_AT3*Q19</f>
        <v>0</v>
      </c>
      <c r="R22" s="168"/>
      <c r="S22" s="168"/>
      <c r="T22" s="250">
        <f>SUM(P22:S22)*$T$19</f>
        <v>0</v>
      </c>
      <c r="V22" s="12" t="s">
        <v>8</v>
      </c>
      <c r="W22" s="60">
        <f>1/(1-FPP_AT2_AT3)*PF_AT2_AT3*FcoinFP_AT2_AT3*W19</f>
        <v>0</v>
      </c>
      <c r="X22" s="60">
        <f>1/(1-FPP_AT3_AT3)*PF_AT3_AT3*FcoinFP_AT3_AT3*X19</f>
        <v>0</v>
      </c>
      <c r="Y22" s="168"/>
      <c r="Z22" s="168"/>
      <c r="AA22" s="250">
        <f>SUM(W22:Z22)*$AA$19</f>
        <v>0</v>
      </c>
    </row>
    <row r="23" spans="2:27" x14ac:dyDescent="0.2">
      <c r="B23" s="3" t="s">
        <v>6</v>
      </c>
      <c r="C23" s="176">
        <f t="shared" si="3"/>
        <v>396</v>
      </c>
      <c r="D23" s="176">
        <f t="shared" si="3"/>
        <v>426.92399999999998</v>
      </c>
      <c r="E23" s="17">
        <f>SUMIFS('DADOS-Diversos'!$K$71:$K$118,'DADOS-Diversos'!$F$71:$F$118,"PONTA",'DADOS-Diversos'!$C$71:$C$118,"&lt;=44")</f>
        <v>2551032</v>
      </c>
      <c r="F23" s="17">
        <f>SUMIFS('DADOS-Diversos'!$K$71:$K$118,'DADOS-Diversos'!$F$71:$F$118,"FORA PONTA",'DADOS-Diversos'!$C$71:$C$118,"&lt;=44")</f>
        <v>2750244.4079999998</v>
      </c>
      <c r="G23" s="176">
        <f>'Aux_FIO A'!$D$55</f>
        <v>24.38436032624637</v>
      </c>
      <c r="H23" s="176">
        <f>'Aux_FIO A'!$E$55</f>
        <v>21.609122573234092</v>
      </c>
      <c r="J23" s="60">
        <f t="shared" si="4"/>
        <v>8.7181290448361999</v>
      </c>
      <c r="K23" s="60">
        <f t="shared" si="4"/>
        <v>10.606031467648762</v>
      </c>
      <c r="M23" s="60"/>
      <c r="O23" s="12" t="s">
        <v>6</v>
      </c>
      <c r="P23" s="60">
        <f>1/(1-FPP_AT2_MT)*PF_AT2_MT*FcoinP_AT2_MT*P19</f>
        <v>0</v>
      </c>
      <c r="Q23" s="60">
        <f>1/(1-FPP_AT3_MT)*PF_AT3_MT*FcoinP_AT3_MT*Q19</f>
        <v>1.034603421602081</v>
      </c>
      <c r="R23" s="60">
        <f>1/(1-FPP_MT_MT)*PF_MT_MT*FcoinP_MT_MT*R19</f>
        <v>8.1994074238077967</v>
      </c>
      <c r="S23" s="168"/>
      <c r="T23" s="250">
        <f>SUM(P23:S23)*$T$19</f>
        <v>7.6998326951142584</v>
      </c>
      <c r="V23" s="12" t="s">
        <v>6</v>
      </c>
      <c r="W23" s="60">
        <f>1/(1-FPP_AT2_MT)*PF_AT2_MT*FcoinFP_AT2_MT*W19</f>
        <v>0</v>
      </c>
      <c r="X23" s="60">
        <f>1/(1-FPP_AT3_MT)*PF_AT3_MT*FcoinFP_AT3_MT*X19</f>
        <v>1.015246940418095</v>
      </c>
      <c r="Y23" s="60">
        <f>1/(1-FPP_MT_MT)*PF_MT_MT*FcoinFP_MT_MT*Y19</f>
        <v>10.762398492216548</v>
      </c>
      <c r="Z23" s="168"/>
      <c r="AA23" s="250">
        <f>SUM(W23:Z23)*$AA$19</f>
        <v>7.0922020503224088</v>
      </c>
    </row>
    <row r="24" spans="2:27" x14ac:dyDescent="0.2">
      <c r="B24" s="3" t="s">
        <v>20</v>
      </c>
      <c r="C24" s="176">
        <f t="shared" si="3"/>
        <v>0</v>
      </c>
      <c r="D24" s="176">
        <f t="shared" si="3"/>
        <v>0</v>
      </c>
      <c r="E24" s="17"/>
      <c r="F24" s="17"/>
      <c r="G24" s="176">
        <f>'Aux_FIO A'!$D$56</f>
        <v>0</v>
      </c>
      <c r="H24" s="176">
        <f>'Aux_FIO A'!$E$56</f>
        <v>0</v>
      </c>
      <c r="J24" s="60">
        <f t="shared" si="4"/>
        <v>0</v>
      </c>
      <c r="K24" s="60">
        <f t="shared" si="4"/>
        <v>0</v>
      </c>
      <c r="M24" s="60"/>
      <c r="O24" s="12" t="s">
        <v>20</v>
      </c>
      <c r="P24" s="60">
        <f>1/(1-FPP_AT2_BT)*PF_AT2_BT*FcoinP_AT2_BT*P19</f>
        <v>0</v>
      </c>
      <c r="Q24" s="60">
        <f>1/(1-FPP_AT3_BT)*PF_AT3_BT*FcoinP_AT3_BT*Q19</f>
        <v>1.1049373762588761</v>
      </c>
      <c r="R24" s="60">
        <f>1/(1-FPP_MT_BT)*PF_MT_BT*FcoinP_MT_BT*R19</f>
        <v>9.0745826138270331</v>
      </c>
      <c r="S24" s="60">
        <f>1/(1-FPP_BT_BT)*PF_BT_BT*FcoinP_BT_BT*S19</f>
        <v>0</v>
      </c>
      <c r="T24" s="250">
        <f>SUM(P24:S24)*$T$19</f>
        <v>8.4882508968672887</v>
      </c>
      <c r="V24" s="12" t="s">
        <v>20</v>
      </c>
      <c r="W24" s="60">
        <f>1/(1-FPP_AT2_BT)*PF_AT2_BT*FcoinFP_AT2_BT*W19</f>
        <v>0</v>
      </c>
      <c r="X24" s="60">
        <f>1/(1-FPP_AT3_BT)*PF_AT3_BT*FcoinFP_AT3_BT*X19</f>
        <v>1.1066590890359687</v>
      </c>
      <c r="Y24" s="60">
        <f>1/(1-FPP_MT_BT)*PF_MT_BT*FcoinFP_MT_BT*Y19</f>
        <v>9.0856153634199579</v>
      </c>
      <c r="Z24" s="60">
        <f>1/(1-FPP_BT_BT)*PF_BT_BT*FcoinFP_BT_BT*Z19</f>
        <v>0</v>
      </c>
      <c r="AA24" s="250">
        <f>SUM(W24:Z24)*$AA$19</f>
        <v>6.1375314941015695</v>
      </c>
    </row>
    <row r="25" spans="2:27" x14ac:dyDescent="0.2">
      <c r="B25" s="1"/>
      <c r="C25" s="1"/>
      <c r="L25" s="180" t="s">
        <v>569</v>
      </c>
      <c r="M25" s="75">
        <f>SUM(M21:M24)</f>
        <v>0</v>
      </c>
    </row>
    <row r="26" spans="2:27" x14ac:dyDescent="0.2">
      <c r="C26" s="1"/>
      <c r="L26" s="180" t="s">
        <v>571</v>
      </c>
      <c r="M26" s="179">
        <f>IFERROR(M25/SUM(E21:E24,F21:F24),)</f>
        <v>0</v>
      </c>
      <c r="T26" s="16" t="str">
        <f>IF(ROUND((T21*'FIO B'!$E$7+'FIO B'!$F$7*'FIO A'!AA21+'FIO A'!T22*'FIO B'!$E$8+'FIO B'!$F$8*'FIO A'!AA22+'FIO A'!T23*'FIO B'!$E$9+'FIO B'!$F$9*'FIO A'!AA23+'FIO A'!T24*SUM('FIO B'!$E$10:$E$11)+SUM('FIO B'!$F$10:$F$11)*'FIO A'!AA24)-(SUM('FIO A'!E21:F24)-M25),3)&lt;&gt;0,"ERRO","OK")</f>
        <v>OK</v>
      </c>
    </row>
    <row r="27" spans="2:27" x14ac:dyDescent="0.2">
      <c r="C27" s="1"/>
      <c r="L27" s="180"/>
      <c r="M27" s="182"/>
      <c r="T27" s="16"/>
    </row>
    <row r="28" spans="2:27" x14ac:dyDescent="0.2">
      <c r="B28" s="1" t="s">
        <v>563</v>
      </c>
      <c r="C28" s="1"/>
      <c r="L28" s="180"/>
      <c r="M28" s="182"/>
      <c r="T28" s="76"/>
    </row>
    <row r="29" spans="2:27" x14ac:dyDescent="0.2">
      <c r="B29" s="1"/>
      <c r="C29" s="1"/>
    </row>
    <row r="30" spans="2:27" x14ac:dyDescent="0.2">
      <c r="B30" s="1"/>
      <c r="C30" s="831" t="s">
        <v>564</v>
      </c>
      <c r="D30" s="832"/>
      <c r="E30" s="832"/>
      <c r="J30" s="828" t="s">
        <v>561</v>
      </c>
      <c r="K30" s="829"/>
      <c r="O30" s="830" t="s">
        <v>578</v>
      </c>
      <c r="P30" s="830"/>
      <c r="Q30" s="830"/>
      <c r="R30" s="830"/>
      <c r="S30" s="830"/>
      <c r="T30" s="22"/>
      <c r="V30" s="830" t="s">
        <v>579</v>
      </c>
      <c r="W30" s="830"/>
      <c r="X30" s="830"/>
      <c r="Y30" s="830"/>
      <c r="Z30" s="830"/>
    </row>
    <row r="31" spans="2:27" ht="63.75" x14ac:dyDescent="0.2">
      <c r="B31" s="1"/>
      <c r="C31" s="175" t="s">
        <v>566</v>
      </c>
      <c r="D31" s="177" t="s">
        <v>565</v>
      </c>
      <c r="E31" s="177" t="s">
        <v>565</v>
      </c>
      <c r="J31" s="154" t="s">
        <v>339</v>
      </c>
      <c r="K31" s="154" t="s">
        <v>340</v>
      </c>
      <c r="M31" s="177" t="s">
        <v>568</v>
      </c>
      <c r="O31" s="12" t="s">
        <v>573</v>
      </c>
      <c r="P31" s="75">
        <f>J33</f>
        <v>0</v>
      </c>
      <c r="Q31" s="75">
        <f>J34</f>
        <v>1.0667763417845582</v>
      </c>
      <c r="R31" s="75">
        <f>J35</f>
        <v>2.5993067378976522</v>
      </c>
      <c r="S31" s="75">
        <f>J36</f>
        <v>0</v>
      </c>
      <c r="T31" s="76">
        <f>IF(SUM(P31:S31)&lt;&gt;0,(SUM($P$33:$S$33)*'FIO B'!$C$7+SUM('FIO A'!$P$34:$S$34)*'FIO B'!$C$8+SUM('FIO A'!$P$35:$S$35)*'FIO B'!$C$9+SUM('FIO A'!$P$36:$S$36)*'FIO B'!$C$10)/(SUM($P$33:$S$33)*'FIO B'!$E$7+SUM('FIO A'!$P$34:$S$34)*'FIO B'!$E$8+SUM('FIO A'!$P$35:$S$35)*'FIO B'!$E$9+SUM('FIO A'!$P$36:$S$36)*SUM('FIO B'!$E$10:$E$11)),0)</f>
        <v>0.83385708726418162</v>
      </c>
      <c r="V31" s="12" t="s">
        <v>573</v>
      </c>
      <c r="W31" s="75">
        <f>K33</f>
        <v>0</v>
      </c>
      <c r="X31" s="75">
        <f>K34</f>
        <v>1.0667763417845582</v>
      </c>
      <c r="Y31" s="75">
        <f>K35</f>
        <v>2.5993067378976522</v>
      </c>
      <c r="Z31" s="75">
        <f>K36</f>
        <v>0</v>
      </c>
      <c r="AA31" s="76">
        <f>IF(SUM(W31:Z31)&lt;&gt;0,('FIO B'!$D$7*SUM('FIO A'!$W$33:$Z$33)+'FIO B'!$D$8*SUM('FIO A'!$W$34:$Z$34)+'FIO B'!$D$9*SUM('FIO A'!$W$35:$Z$35)+'FIO B'!$D$10*SUM('FIO A'!$W$36:$Z$36))/('FIO B'!$F$7*SUM('FIO A'!$W$33:$Z$33)+'FIO B'!$F$8*SUM('FIO A'!$W$34:$Z$34)+'FIO B'!$F$9*SUM('FIO A'!$W$35:$Z$35)+SUM('FIO B'!$F$10:$F$11)*SUM('FIO A'!$W$36:$Z$36)),0)</f>
        <v>0.602235083549154</v>
      </c>
    </row>
    <row r="32" spans="2:27" x14ac:dyDescent="0.2">
      <c r="B32" s="1"/>
      <c r="C32" s="175" t="s">
        <v>3249</v>
      </c>
      <c r="D32" s="175" t="s">
        <v>3247</v>
      </c>
      <c r="E32" s="175" t="s">
        <v>3248</v>
      </c>
      <c r="J32" s="175" t="s">
        <v>502</v>
      </c>
      <c r="K32" s="175" t="s">
        <v>502</v>
      </c>
      <c r="M32" s="175" t="s">
        <v>567</v>
      </c>
      <c r="O32" s="181"/>
      <c r="P32" s="181" t="s">
        <v>7</v>
      </c>
      <c r="Q32" s="181" t="s">
        <v>8</v>
      </c>
      <c r="R32" s="181" t="s">
        <v>6</v>
      </c>
      <c r="S32" s="181" t="s">
        <v>20</v>
      </c>
      <c r="T32" s="12" t="s">
        <v>668</v>
      </c>
      <c r="V32" s="181"/>
      <c r="W32" s="181" t="s">
        <v>7</v>
      </c>
      <c r="X32" s="181" t="s">
        <v>8</v>
      </c>
      <c r="Y32" s="181" t="s">
        <v>6</v>
      </c>
      <c r="Z32" s="181" t="s">
        <v>20</v>
      </c>
      <c r="AA32" s="12" t="s">
        <v>668</v>
      </c>
    </row>
    <row r="33" spans="2:27" x14ac:dyDescent="0.2">
      <c r="B33" s="3" t="s">
        <v>7</v>
      </c>
      <c r="C33" s="60">
        <f>'DADOS-Diversos'!J47</f>
        <v>0</v>
      </c>
      <c r="D33" s="176">
        <f>'Aux_FIO A'!$D$53</f>
        <v>0</v>
      </c>
      <c r="E33" s="176">
        <f>'Aux_FIO A'!$E$53</f>
        <v>0</v>
      </c>
      <c r="J33" s="60">
        <f>IFERROR(C33*(1-$M$38)/(D33+E33)/12000,)</f>
        <v>0</v>
      </c>
      <c r="K33" s="60">
        <f>IFERROR(C33*(1-$M$38)/(D33+E33)/12000,)</f>
        <v>0</v>
      </c>
      <c r="M33" s="60">
        <f>'DADOS-Diversos'!D62</f>
        <v>0</v>
      </c>
      <c r="O33" s="12" t="s">
        <v>7</v>
      </c>
      <c r="P33" s="60">
        <f>1/(1-FPP_AT2_AT2)*PF_AT2_AT2*FcoinP_AT2_AT2*P31</f>
        <v>0</v>
      </c>
      <c r="Q33" s="168"/>
      <c r="R33" s="168"/>
      <c r="S33" s="168"/>
      <c r="T33" s="250">
        <f>SUM(P33:S33)*$T$31</f>
        <v>0</v>
      </c>
      <c r="V33" s="12" t="s">
        <v>7</v>
      </c>
      <c r="W33" s="60">
        <f>1/(1-FPP_AT2_AT2)*PF_AT2_AT2*FcoinFP_AT2_AT2*W31</f>
        <v>0</v>
      </c>
      <c r="X33" s="168"/>
      <c r="Y33" s="168"/>
      <c r="Z33" s="168"/>
      <c r="AA33" s="250">
        <f>SUM(W33:Z33)*$AA$31</f>
        <v>0</v>
      </c>
    </row>
    <row r="34" spans="2:27" x14ac:dyDescent="0.2">
      <c r="B34" s="3" t="s">
        <v>8</v>
      </c>
      <c r="C34" s="60">
        <f>'DADOS-Diversos'!J48</f>
        <v>176841.91</v>
      </c>
      <c r="D34" s="176">
        <f>'Aux_FIO A'!$D$54</f>
        <v>7.2118523564174266</v>
      </c>
      <c r="E34" s="176">
        <f>'Aux_FIO A'!$E$54</f>
        <v>6.6025014646289026</v>
      </c>
      <c r="J34" s="60">
        <f t="shared" ref="J34:J36" si="5">IFERROR(C34*(1-$M$38)/(D34+E34)/12000,)</f>
        <v>1.0667763417845582</v>
      </c>
      <c r="K34" s="60">
        <f t="shared" ref="K34:K36" si="6">IFERROR(C34*(1-$M$38)/(D34+E34)/12000,)</f>
        <v>1.0667763417845582</v>
      </c>
      <c r="M34" s="60">
        <f>'DADOS-Diversos'!D63</f>
        <v>0</v>
      </c>
      <c r="O34" s="12" t="s">
        <v>8</v>
      </c>
      <c r="P34" s="60">
        <f>1/(1-FPP_AT2_AT3)*PF_AT2_AT3*FcoinP_AT2_AT3*P31</f>
        <v>0</v>
      </c>
      <c r="Q34" s="60">
        <f>1/(1-FPP_AT3_AT3)*PF_AT3_AT3*FcoinP_AT3_AT3*Q31</f>
        <v>0</v>
      </c>
      <c r="R34" s="168"/>
      <c r="S34" s="168"/>
      <c r="T34" s="250">
        <f>SUM(P34:S34)*$T$31</f>
        <v>0</v>
      </c>
      <c r="V34" s="12" t="s">
        <v>8</v>
      </c>
      <c r="W34" s="60">
        <f>1/(1-FPP_AT2_AT3)*PF_AT2_AT3*FcoinFP_AT2_AT3*W31</f>
        <v>0</v>
      </c>
      <c r="X34" s="60">
        <f>1/(1-FPP_AT3_AT3)*PF_AT3_AT3*FcoinFP_AT3_AT3*X31</f>
        <v>0</v>
      </c>
      <c r="Y34" s="168"/>
      <c r="Z34" s="168"/>
      <c r="AA34" s="250">
        <f>SUM(W34:Z34)*$AA$31</f>
        <v>0</v>
      </c>
    </row>
    <row r="35" spans="2:27" x14ac:dyDescent="0.2">
      <c r="B35" s="3" t="s">
        <v>6</v>
      </c>
      <c r="C35" s="60">
        <f>'DADOS-Diversos'!J49+'DADOS-Diversos'!J50</f>
        <v>1434614.04</v>
      </c>
      <c r="D35" s="176">
        <f>'Aux_FIO A'!$D$55</f>
        <v>24.38436032624637</v>
      </c>
      <c r="E35" s="176">
        <f>'Aux_FIO A'!$E$55</f>
        <v>21.609122573234092</v>
      </c>
      <c r="J35" s="60">
        <f t="shared" si="5"/>
        <v>2.5993067378976522</v>
      </c>
      <c r="K35" s="60">
        <f t="shared" si="6"/>
        <v>2.5993067378976522</v>
      </c>
      <c r="M35" s="60"/>
      <c r="O35" s="12" t="s">
        <v>6</v>
      </c>
      <c r="P35" s="60">
        <f>1/(1-FPP_AT2_MT)*PF_AT2_MT*FcoinP_AT2_MT*P31</f>
        <v>0</v>
      </c>
      <c r="Q35" s="60">
        <f>1/(1-FPP_AT3_MT)*PF_AT3_MT*FcoinP_AT3_MT*Q31</f>
        <v>0.30648233015082327</v>
      </c>
      <c r="R35" s="60">
        <f>1/(1-FPP_MT_MT)*PF_MT_MT*FcoinP_MT_MT*R31</f>
        <v>2.4446500910760571</v>
      </c>
      <c r="S35" s="168"/>
      <c r="T35" s="250">
        <f>SUM(P35:S35)*$T$31</f>
        <v>2.2940512674423017</v>
      </c>
      <c r="V35" s="12" t="s">
        <v>6</v>
      </c>
      <c r="W35" s="60">
        <f>1/(1-FPP_AT2_MT)*PF_AT2_MT*FcoinFP_AT2_MT*W31</f>
        <v>0</v>
      </c>
      <c r="X35" s="60">
        <f>1/(1-FPP_AT3_MT)*PF_AT3_MT*FcoinFP_AT3_MT*X31</f>
        <v>0.27533720467844608</v>
      </c>
      <c r="Y35" s="60">
        <f>1/(1-FPP_MT_MT)*PF_MT_MT*FcoinFP_MT_MT*Y31</f>
        <v>2.6376288814613233</v>
      </c>
      <c r="Z35" s="168"/>
      <c r="AA35" s="250">
        <f>SUM(W35:Z35)*$AA$31</f>
        <v>1.7542903742622362</v>
      </c>
    </row>
    <row r="36" spans="2:27" x14ac:dyDescent="0.2">
      <c r="B36" s="3" t="s">
        <v>20</v>
      </c>
      <c r="C36" s="60">
        <f>'DADOS-Diversos'!J51+'DADOS-Diversos'!J52</f>
        <v>0</v>
      </c>
      <c r="D36" s="176">
        <f>'Aux_FIO A'!$D$56</f>
        <v>0</v>
      </c>
      <c r="E36" s="176">
        <f>'Aux_FIO A'!$E$56</f>
        <v>0</v>
      </c>
      <c r="J36" s="60">
        <f t="shared" si="5"/>
        <v>0</v>
      </c>
      <c r="K36" s="60">
        <f t="shared" si="6"/>
        <v>0</v>
      </c>
      <c r="M36" s="60"/>
      <c r="O36" s="12" t="s">
        <v>20</v>
      </c>
      <c r="P36" s="60">
        <f>1/(1-FPP_AT2_BT)*PF_AT2_BT*FcoinP_AT2_BT*P31</f>
        <v>0</v>
      </c>
      <c r="Q36" s="60">
        <f>1/(1-FPP_AT3_BT)*PF_AT3_BT*FcoinP_AT3_BT*Q31</f>
        <v>0.32731747708911324</v>
      </c>
      <c r="R36" s="60">
        <f>1/(1-FPP_MT_BT)*PF_MT_BT*FcoinP_MT_BT*R31</f>
        <v>2.7055832289728019</v>
      </c>
      <c r="S36" s="60">
        <f>1/(1-FPP_BT_BT)*PF_BT_BT*FcoinP_BT_BT*S31</f>
        <v>0</v>
      </c>
      <c r="T36" s="250">
        <f>SUM(P36:S36)*$T$31</f>
        <v>2.5290057487182684</v>
      </c>
      <c r="V36" s="12" t="s">
        <v>20</v>
      </c>
      <c r="W36" s="60">
        <f>1/(1-FPP_AT2_BT)*PF_AT2_BT*FcoinFP_AT2_BT*W31</f>
        <v>0</v>
      </c>
      <c r="X36" s="60">
        <f>1/(1-FPP_AT3_BT)*PF_AT3_BT*FcoinFP_AT3_BT*X31</f>
        <v>0.30012838057081659</v>
      </c>
      <c r="Y36" s="60">
        <f>1/(1-FPP_MT_BT)*PF_MT_BT*FcoinFP_MT_BT*Y31</f>
        <v>2.2266859479080341</v>
      </c>
      <c r="Z36" s="60">
        <f>1/(1-FPP_BT_BT)*PF_BT_BT*FcoinFP_BT_BT*Z31</f>
        <v>0</v>
      </c>
      <c r="AA36" s="250">
        <f>SUM(W36:Z36)*$AA$31</f>
        <v>1.5217362382246602</v>
      </c>
    </row>
    <row r="37" spans="2:27" x14ac:dyDescent="0.2">
      <c r="L37" s="180" t="s">
        <v>569</v>
      </c>
      <c r="M37" s="75">
        <f>SUM(M33:M36)</f>
        <v>0</v>
      </c>
    </row>
    <row r="38" spans="2:27" x14ac:dyDescent="0.2">
      <c r="B38" s="1"/>
      <c r="L38" s="180" t="s">
        <v>571</v>
      </c>
      <c r="M38" s="179">
        <f>IFERROR(M37/SUM(C33:C36),)</f>
        <v>0</v>
      </c>
      <c r="T38" s="16" t="str">
        <f>IF(ROUND((T33*'FIO B'!$E$7+'FIO B'!$F$7*'FIO A'!AA33+'FIO A'!T34*'FIO B'!$E$8+'FIO B'!$F$8*'FIO A'!AA34+'FIO A'!T35*'FIO B'!$E$9+'FIO B'!$F$9*'FIO A'!AA35+'FIO A'!T36*SUM('FIO B'!$E$10:$E$11)+SUM('FIO B'!$F$10:$F$11)*'FIO A'!AA36)-(SUM('FIO A'!C33:C36)-M37),3)&lt;&gt;0,"ERRO","OK")</f>
        <v>OK</v>
      </c>
    </row>
    <row r="39" spans="2:27" x14ac:dyDescent="0.2">
      <c r="B39" s="1"/>
      <c r="C39" s="1"/>
    </row>
    <row r="40" spans="2:27" x14ac:dyDescent="0.2">
      <c r="B40" s="1" t="s">
        <v>570</v>
      </c>
      <c r="C40" s="1"/>
    </row>
    <row r="41" spans="2:27" ht="3" customHeight="1" x14ac:dyDescent="0.2">
      <c r="B41" s="1"/>
      <c r="C41" s="1"/>
    </row>
    <row r="42" spans="2:27" x14ac:dyDescent="0.2">
      <c r="B42" s="1"/>
      <c r="C42" s="831" t="s">
        <v>572</v>
      </c>
      <c r="D42" s="832"/>
      <c r="E42" s="832"/>
      <c r="J42" s="828" t="s">
        <v>561</v>
      </c>
      <c r="K42" s="829"/>
      <c r="O42" s="830" t="s">
        <v>580</v>
      </c>
      <c r="P42" s="830"/>
      <c r="Q42" s="830"/>
      <c r="R42" s="830"/>
      <c r="S42" s="830"/>
      <c r="T42" s="22"/>
      <c r="V42" s="830" t="s">
        <v>581</v>
      </c>
      <c r="W42" s="830"/>
      <c r="X42" s="830"/>
      <c r="Y42" s="830"/>
      <c r="Z42" s="830"/>
    </row>
    <row r="43" spans="2:27" ht="63.75" x14ac:dyDescent="0.2">
      <c r="B43" s="1"/>
      <c r="C43" s="175" t="s">
        <v>566</v>
      </c>
      <c r="D43" s="177" t="s">
        <v>565</v>
      </c>
      <c r="E43" s="177" t="s">
        <v>565</v>
      </c>
      <c r="J43" s="154" t="s">
        <v>339</v>
      </c>
      <c r="K43" s="154" t="s">
        <v>340</v>
      </c>
      <c r="M43" s="177" t="s">
        <v>568</v>
      </c>
      <c r="O43" s="12" t="s">
        <v>573</v>
      </c>
      <c r="P43" s="75">
        <f>J45</f>
        <v>0</v>
      </c>
      <c r="Q43" s="75">
        <f>J46</f>
        <v>0</v>
      </c>
      <c r="R43" s="75">
        <f>J47</f>
        <v>0</v>
      </c>
      <c r="S43" s="75">
        <f>J48</f>
        <v>0</v>
      </c>
      <c r="T43" s="76">
        <f>IF(SUM(P43:S43)&lt;&gt;0,(SUM($P$45:$S$45)*'FIO B'!$C$7+SUM('FIO A'!$P$46:$S$46)*'FIO B'!$C$8+SUM('FIO A'!$P$47:$S$47)*'FIO B'!$C$9+SUM('FIO A'!$P$48:$S$48)*'FIO B'!$C$10)/(SUM($P$45:$S$45)*'FIO B'!$E$7+SUM('FIO A'!$P$46:$S$46)*'FIO B'!$E$8+SUM('FIO A'!$P$47:$S$47)*'FIO B'!$E$9+SUM('FIO A'!$P$48:$S$48)*SUM('FIO B'!$E$10:$E$11)),0)</f>
        <v>0</v>
      </c>
      <c r="V43" s="12" t="s">
        <v>573</v>
      </c>
      <c r="W43" s="75">
        <f>K45</f>
        <v>0</v>
      </c>
      <c r="X43" s="75">
        <f>K46</f>
        <v>0</v>
      </c>
      <c r="Y43" s="75">
        <f>K47</f>
        <v>0</v>
      </c>
      <c r="Z43" s="75">
        <f>K48</f>
        <v>0</v>
      </c>
      <c r="AA43" s="76">
        <f>IF(SUM(W43:Z43)&lt;&gt;0,('FIO B'!$D$7*SUM('FIO A'!$W$45:$Z$45)+'FIO B'!$D$8*SUM('FIO A'!$W$46:$Z$46)+'FIO B'!$D$9*SUM('FIO A'!$W$47:$Z$47)+'FIO B'!$D$10*SUM('FIO A'!$W$48:$Z$48))/('FIO B'!$F$7*SUM('FIO A'!$W$45:$Z$45)+'FIO B'!$F$8*SUM('FIO A'!$W$46:$Z$46)+'FIO B'!$F$9*SUM('FIO A'!$W$47:$Z$47)+SUM('FIO B'!$F$10:$F$11)*SUM('FIO A'!$W$48:$Z$48)),0)</f>
        <v>0</v>
      </c>
    </row>
    <row r="44" spans="2:27" x14ac:dyDescent="0.2">
      <c r="B44" s="1"/>
      <c r="C44" s="175" t="s">
        <v>3249</v>
      </c>
      <c r="D44" s="175" t="s">
        <v>3247</v>
      </c>
      <c r="E44" s="175" t="s">
        <v>3248</v>
      </c>
      <c r="J44" s="175" t="s">
        <v>502</v>
      </c>
      <c r="K44" s="175" t="s">
        <v>502</v>
      </c>
      <c r="M44" s="175" t="s">
        <v>3249</v>
      </c>
      <c r="O44" s="181"/>
      <c r="P44" s="181" t="s">
        <v>7</v>
      </c>
      <c r="Q44" s="181" t="s">
        <v>8</v>
      </c>
      <c r="R44" s="181" t="s">
        <v>6</v>
      </c>
      <c r="S44" s="181" t="s">
        <v>20</v>
      </c>
      <c r="T44" s="12" t="s">
        <v>668</v>
      </c>
      <c r="V44" s="181"/>
      <c r="W44" s="181" t="s">
        <v>7</v>
      </c>
      <c r="X44" s="181" t="s">
        <v>8</v>
      </c>
      <c r="Y44" s="181" t="s">
        <v>6</v>
      </c>
      <c r="Z44" s="181" t="s">
        <v>20</v>
      </c>
      <c r="AA44" s="12" t="s">
        <v>668</v>
      </c>
    </row>
    <row r="45" spans="2:27" x14ac:dyDescent="0.2">
      <c r="B45" s="3" t="s">
        <v>7</v>
      </c>
      <c r="C45" s="60">
        <f>'DADOS-Diversos'!H47</f>
        <v>0</v>
      </c>
      <c r="D45" s="176">
        <f>'Aux_FIO A'!$D$53</f>
        <v>0</v>
      </c>
      <c r="E45" s="176">
        <f>'Aux_FIO A'!$E$53</f>
        <v>0</v>
      </c>
      <c r="J45" s="60">
        <f>IFERROR(C45*(1-$M$50)/(D45+E45)/12000,)</f>
        <v>0</v>
      </c>
      <c r="K45" s="60">
        <f>IFERROR(C45*(1-$M$50)/(D45+E45)/12000,)</f>
        <v>0</v>
      </c>
      <c r="M45" s="60"/>
      <c r="O45" s="12" t="s">
        <v>7</v>
      </c>
      <c r="P45" s="60">
        <f>1/(1-FPP_AT2_AT2)*PF_AT2_AT2*FcoinP_AT2_AT2*P43</f>
        <v>0</v>
      </c>
      <c r="Q45" s="168"/>
      <c r="R45" s="168"/>
      <c r="S45" s="168"/>
      <c r="T45" s="250">
        <f>SUM(P45:S45)*$T$43</f>
        <v>0</v>
      </c>
      <c r="V45" s="12" t="s">
        <v>7</v>
      </c>
      <c r="W45" s="60">
        <f>1/(1-FPP_AT2_AT2)*PF_AT2_AT2*FcoinFP_AT2_AT2*W43</f>
        <v>0</v>
      </c>
      <c r="X45" s="168"/>
      <c r="Y45" s="168"/>
      <c r="Z45" s="168"/>
      <c r="AA45" s="250">
        <f>SUM(W45:Z45)*$AA$43</f>
        <v>0</v>
      </c>
    </row>
    <row r="46" spans="2:27" x14ac:dyDescent="0.2">
      <c r="B46" s="3" t="s">
        <v>8</v>
      </c>
      <c r="C46" s="60">
        <f>'DADOS-Diversos'!H48</f>
        <v>0</v>
      </c>
      <c r="D46" s="176">
        <f>'Aux_FIO A'!$D$54</f>
        <v>7.2118523564174266</v>
      </c>
      <c r="E46" s="176">
        <f>'Aux_FIO A'!$E$54</f>
        <v>6.6025014646289026</v>
      </c>
      <c r="J46" s="60">
        <f t="shared" ref="J46:J48" si="7">IFERROR(C46*(1-$M$50)/(D46+E46)/12000,)</f>
        <v>0</v>
      </c>
      <c r="K46" s="60">
        <f t="shared" ref="K46:K48" si="8">IFERROR(C46*(1-$M$50)/(D46+E46)/12000,)</f>
        <v>0</v>
      </c>
      <c r="M46" s="60"/>
      <c r="O46" s="12" t="s">
        <v>8</v>
      </c>
      <c r="P46" s="60">
        <f>1/(1-FPP_AT2_AT3)*PF_AT2_AT3*FcoinP_AT2_AT3*P43</f>
        <v>0</v>
      </c>
      <c r="Q46" s="60">
        <f>1/(1-FPP_AT3_AT3)*PF_AT3_AT3*FcoinP_AT3_AT3*Q43</f>
        <v>0</v>
      </c>
      <c r="R46" s="168"/>
      <c r="S46" s="168"/>
      <c r="T46" s="250">
        <f>SUM(P46:S46)*$T$43</f>
        <v>0</v>
      </c>
      <c r="V46" s="12" t="s">
        <v>8</v>
      </c>
      <c r="W46" s="60">
        <f>1/(1-FPP_AT2_AT3)*PF_AT2_AT3*FcoinFP_AT2_AT3*W43</f>
        <v>0</v>
      </c>
      <c r="X46" s="60">
        <f>1/(1-FPP_AT3_AT3)*PF_AT3_AT3*FcoinFP_AT3_AT3*X43</f>
        <v>0</v>
      </c>
      <c r="Y46" s="168"/>
      <c r="Z46" s="168"/>
      <c r="AA46" s="250">
        <f>SUM(W46:Z46)*$AA$43</f>
        <v>0</v>
      </c>
    </row>
    <row r="47" spans="2:27" x14ac:dyDescent="0.2">
      <c r="B47" s="3" t="s">
        <v>6</v>
      </c>
      <c r="C47" s="60">
        <f>'DADOS-Diversos'!H49+'DADOS-Diversos'!H50</f>
        <v>0</v>
      </c>
      <c r="D47" s="176">
        <f>'Aux_FIO A'!$D$55</f>
        <v>24.38436032624637</v>
      </c>
      <c r="E47" s="176">
        <f>'Aux_FIO A'!$E$55</f>
        <v>21.609122573234092</v>
      </c>
      <c r="J47" s="60">
        <f t="shared" si="7"/>
        <v>0</v>
      </c>
      <c r="K47" s="60">
        <f t="shared" si="8"/>
        <v>0</v>
      </c>
      <c r="M47" s="60"/>
      <c r="O47" s="12" t="s">
        <v>6</v>
      </c>
      <c r="P47" s="60">
        <f>1/(1-FPP_AT2_MT)*PF_AT2_MT*FcoinP_AT2_MT*P43</f>
        <v>0</v>
      </c>
      <c r="Q47" s="60">
        <f>1/(1-FPP_AT3_MT)*PF_AT3_MT*FcoinP_AT3_MT*Q43</f>
        <v>0</v>
      </c>
      <c r="R47" s="60">
        <f>1/(1-FPP_MT_MT)*PF_MT_MT*FcoinP_MT_MT*R43</f>
        <v>0</v>
      </c>
      <c r="S47" s="168"/>
      <c r="T47" s="250">
        <f>SUM(P47:S47)*$T$43</f>
        <v>0</v>
      </c>
      <c r="V47" s="12" t="s">
        <v>6</v>
      </c>
      <c r="W47" s="60">
        <f>1/(1-FPP_AT2_MT)*PF_AT2_MT*FcoinFP_AT2_MT*W43</f>
        <v>0</v>
      </c>
      <c r="X47" s="60">
        <f>1/(1-FPP_AT3_MT)*PF_AT3_MT*FcoinFP_AT3_MT*X43</f>
        <v>0</v>
      </c>
      <c r="Y47" s="60">
        <f>1/(1-FPP_MT_MT)*PF_MT_MT*FcoinFP_MT_MT*Y43</f>
        <v>0</v>
      </c>
      <c r="Z47" s="168"/>
      <c r="AA47" s="250">
        <f>SUM(W47:Z47)*$AA$43</f>
        <v>0</v>
      </c>
    </row>
    <row r="48" spans="2:27" x14ac:dyDescent="0.2">
      <c r="B48" s="3" t="s">
        <v>20</v>
      </c>
      <c r="C48" s="60">
        <f>'DADOS-Diversos'!H51+'DADOS-Diversos'!H52</f>
        <v>0</v>
      </c>
      <c r="D48" s="176">
        <f>'Aux_FIO A'!$D$56</f>
        <v>0</v>
      </c>
      <c r="E48" s="176">
        <f>'Aux_FIO A'!$E$56</f>
        <v>0</v>
      </c>
      <c r="J48" s="60">
        <f t="shared" si="7"/>
        <v>0</v>
      </c>
      <c r="K48" s="60">
        <f t="shared" si="8"/>
        <v>0</v>
      </c>
      <c r="M48" s="60"/>
      <c r="O48" s="12" t="s">
        <v>20</v>
      </c>
      <c r="P48" s="60">
        <f>1/(1-FPP_AT2_BT)*PF_AT2_BT*FcoinP_AT2_BT*P43</f>
        <v>0</v>
      </c>
      <c r="Q48" s="60">
        <f>1/(1-FPP_AT3_BT)*PF_AT3_BT*FcoinP_AT3_BT*Q43</f>
        <v>0</v>
      </c>
      <c r="R48" s="60">
        <f>1/(1-FPP_MT_BT)*PF_MT_BT*FcoinP_MT_BT*R43</f>
        <v>0</v>
      </c>
      <c r="S48" s="60">
        <f>1/(1-FPP_BT_BT)*PF_BT_BT*FcoinP_BT_BT*S43</f>
        <v>0</v>
      </c>
      <c r="T48" s="250">
        <f>SUM(P48:S48)*$T$43</f>
        <v>0</v>
      </c>
      <c r="V48" s="12" t="s">
        <v>20</v>
      </c>
      <c r="W48" s="60">
        <f>1/(1-FPP_AT2_BT)*PF_AT2_BT*FcoinFP_AT2_BT*W43</f>
        <v>0</v>
      </c>
      <c r="X48" s="60">
        <f>1/(1-FPP_AT3_BT)*PF_AT3_BT*FcoinFP_AT3_BT*X43</f>
        <v>0</v>
      </c>
      <c r="Y48" s="60">
        <f>1/(1-FPP_MT_BT)*PF_MT_BT*FcoinFP_MT_BT*Y43</f>
        <v>0</v>
      </c>
      <c r="Z48" s="60">
        <f>1/(1-FPP_BT_BT)*PF_BT_BT*FcoinFP_BT_BT*Z43</f>
        <v>0</v>
      </c>
      <c r="AA48" s="250">
        <f>SUM(W48:Z48)*$AA$43</f>
        <v>0</v>
      </c>
    </row>
    <row r="49" spans="2:27" x14ac:dyDescent="0.2">
      <c r="L49" s="180" t="s">
        <v>569</v>
      </c>
      <c r="M49" s="75">
        <f>SUM(M45:M48)</f>
        <v>0</v>
      </c>
    </row>
    <row r="50" spans="2:27" x14ac:dyDescent="0.2">
      <c r="B50" s="1"/>
      <c r="C50" s="63"/>
      <c r="L50" s="180" t="s">
        <v>571</v>
      </c>
      <c r="M50" s="179">
        <f>IFERROR(M49/SUM(C45:C48),)</f>
        <v>0</v>
      </c>
      <c r="T50" s="16" t="str">
        <f>IF(ROUND((T45*'FIO B'!$E$7+'FIO B'!$F$7*'FIO A'!AA45+'FIO A'!T46*'FIO B'!$E$8+'FIO B'!$F$8*'FIO A'!AA46+'FIO A'!T47*'FIO B'!$E$9+'FIO B'!$F$9*'FIO A'!AA47+'FIO A'!T48*SUM('FIO B'!$E$10:$E$11)+SUM('FIO B'!$F$10:$F$11)*'FIO A'!AA48)-(SUM('FIO A'!C45:C48)-M49),3)&lt;&gt;0,"ERRO","OK")</f>
        <v>OK</v>
      </c>
    </row>
    <row r="52" spans="2:27" x14ac:dyDescent="0.2">
      <c r="B52" s="1" t="s">
        <v>582</v>
      </c>
    </row>
    <row r="53" spans="2:27" ht="3" customHeight="1" x14ac:dyDescent="0.2">
      <c r="B53" s="1"/>
      <c r="C53" s="1"/>
    </row>
    <row r="54" spans="2:27" x14ac:dyDescent="0.2">
      <c r="B54" s="1"/>
      <c r="C54" s="828" t="s">
        <v>338</v>
      </c>
      <c r="D54" s="829"/>
      <c r="E54" s="828" t="s">
        <v>341</v>
      </c>
      <c r="F54" s="829"/>
      <c r="G54" s="178"/>
      <c r="H54" s="178"/>
      <c r="J54" s="828" t="s">
        <v>561</v>
      </c>
      <c r="K54" s="829"/>
      <c r="O54" s="830" t="s">
        <v>583</v>
      </c>
      <c r="P54" s="830"/>
      <c r="Q54" s="830"/>
      <c r="R54" s="830"/>
      <c r="S54" s="830"/>
      <c r="T54" s="22"/>
      <c r="V54" s="830" t="s">
        <v>584</v>
      </c>
      <c r="W54" s="830"/>
      <c r="X54" s="830"/>
      <c r="Y54" s="830"/>
      <c r="Z54" s="830"/>
    </row>
    <row r="55" spans="2:27" ht="63.75" x14ac:dyDescent="0.2">
      <c r="B55" s="1"/>
      <c r="C55" s="154" t="s">
        <v>339</v>
      </c>
      <c r="D55" s="154" t="s">
        <v>340</v>
      </c>
      <c r="E55" s="154" t="s">
        <v>339</v>
      </c>
      <c r="F55" s="154" t="s">
        <v>340</v>
      </c>
      <c r="G55" s="177" t="s">
        <v>565</v>
      </c>
      <c r="H55" s="177" t="s">
        <v>565</v>
      </c>
      <c r="J55" s="154" t="s">
        <v>339</v>
      </c>
      <c r="K55" s="154" t="s">
        <v>340</v>
      </c>
      <c r="M55" s="177" t="s">
        <v>568</v>
      </c>
      <c r="O55" s="12" t="s">
        <v>573</v>
      </c>
      <c r="P55" s="75">
        <f>J57</f>
        <v>0</v>
      </c>
      <c r="Q55" s="75">
        <f>J58</f>
        <v>0</v>
      </c>
      <c r="R55" s="75">
        <f>J59</f>
        <v>0</v>
      </c>
      <c r="S55" s="75">
        <f>J60</f>
        <v>0</v>
      </c>
      <c r="T55" s="76">
        <f>IF(SUM(P55:S55)&lt;&gt;0,(SUM($P$57:$S$57)*'FIO B'!$C$7+SUM('FIO A'!$P$58:$S$58)*'FIO B'!$C$8+SUM('FIO A'!$P$59:$S$59)*'FIO B'!$C$9+SUM('FIO A'!$P$60:$S$60)*'FIO B'!$C$10)/(SUM($P$57:$S$57)*'FIO B'!$E$7+SUM('FIO A'!$P$58:$S$58)*'FIO B'!$E$8+SUM('FIO A'!$P$59:$S$59)*'FIO B'!$E$9+SUM('FIO A'!$P$60:$S$60)*SUM('FIO B'!$E$10:$E$11)),0)</f>
        <v>0</v>
      </c>
      <c r="V55" s="12" t="s">
        <v>573</v>
      </c>
      <c r="W55" s="75">
        <f>K57</f>
        <v>0</v>
      </c>
      <c r="X55" s="75">
        <f>K58</f>
        <v>0</v>
      </c>
      <c r="Y55" s="75">
        <f>K59</f>
        <v>0</v>
      </c>
      <c r="Z55" s="75">
        <f>K60</f>
        <v>0</v>
      </c>
      <c r="AA55" s="76">
        <f>IF(SUM(W55:Z55)&lt;&gt;0,('FIO B'!$D$7*SUM('FIO A'!$W$57:$Z$57)+'FIO B'!$D$8*SUM('FIO A'!$W$58:$Z$58)+'FIO B'!$D$9*SUM('FIO A'!$W$59:$Z$59)+'FIO B'!$D$10*SUM('FIO A'!$W$60:$Z$60))/('FIO B'!$F$7*SUM('FIO A'!$W$57:$Z$57)+'FIO B'!$F$8*SUM('FIO A'!$W$58:$Z$58)+'FIO B'!$F$9*SUM('FIO A'!$W$59:$Z$59)+SUM('FIO B'!$F$10:$F$11)*SUM('FIO A'!$W$60:$Z$60)),0)</f>
        <v>0</v>
      </c>
    </row>
    <row r="56" spans="2:27" x14ac:dyDescent="0.2">
      <c r="B56" s="1"/>
      <c r="C56" s="175" t="s">
        <v>3250</v>
      </c>
      <c r="D56" s="175" t="s">
        <v>3250</v>
      </c>
      <c r="E56" s="175" t="s">
        <v>3249</v>
      </c>
      <c r="F56" s="175" t="s">
        <v>3249</v>
      </c>
      <c r="G56" s="175" t="s">
        <v>3247</v>
      </c>
      <c r="H56" s="175" t="s">
        <v>3248</v>
      </c>
      <c r="J56" s="175" t="s">
        <v>502</v>
      </c>
      <c r="K56" s="175" t="s">
        <v>502</v>
      </c>
      <c r="M56" s="175" t="s">
        <v>3249</v>
      </c>
      <c r="O56" s="181"/>
      <c r="P56" s="181" t="s">
        <v>7</v>
      </c>
      <c r="Q56" s="181" t="s">
        <v>8</v>
      </c>
      <c r="R56" s="181" t="s">
        <v>6</v>
      </c>
      <c r="S56" s="181" t="s">
        <v>20</v>
      </c>
      <c r="T56" s="12" t="s">
        <v>668</v>
      </c>
      <c r="V56" s="181"/>
      <c r="W56" s="181" t="s">
        <v>7</v>
      </c>
      <c r="X56" s="181" t="s">
        <v>8</v>
      </c>
      <c r="Y56" s="181" t="s">
        <v>6</v>
      </c>
      <c r="Z56" s="181" t="s">
        <v>20</v>
      </c>
      <c r="AA56" s="12" t="s">
        <v>668</v>
      </c>
    </row>
    <row r="57" spans="2:27" x14ac:dyDescent="0.2">
      <c r="B57" s="3" t="s">
        <v>7</v>
      </c>
      <c r="C57" s="176">
        <f>'DADOS-Diversos'!C47</f>
        <v>0</v>
      </c>
      <c r="D57" s="176">
        <f>'DADOS-Diversos'!D47</f>
        <v>0</v>
      </c>
      <c r="E57" s="60">
        <f>'DADOS-Diversos'!E47</f>
        <v>0</v>
      </c>
      <c r="F57" s="60">
        <f>'DADOS-Diversos'!F47</f>
        <v>0</v>
      </c>
      <c r="G57" s="176">
        <f>'Aux_FIO A'!$D$53</f>
        <v>0</v>
      </c>
      <c r="H57" s="176">
        <f>'Aux_FIO A'!$E$53</f>
        <v>0</v>
      </c>
      <c r="J57" s="60">
        <f t="shared" ref="J57:K60" si="9">IFERROR(E57*(1-$M$62)/G57/12000,)</f>
        <v>0</v>
      </c>
      <c r="K57" s="60">
        <f t="shared" si="9"/>
        <v>0</v>
      </c>
      <c r="M57" s="60"/>
      <c r="O57" s="12" t="s">
        <v>7</v>
      </c>
      <c r="P57" s="60">
        <f>1/(1-FPP_AT2_AT2)*PF_AT2_AT2*FcoinP_AT2_AT2*P55</f>
        <v>0</v>
      </c>
      <c r="Q57" s="168"/>
      <c r="R57" s="168"/>
      <c r="S57" s="168"/>
      <c r="T57" s="250">
        <f>SUM(P57:S57)*$T$55</f>
        <v>0</v>
      </c>
      <c r="V57" s="12" t="s">
        <v>7</v>
      </c>
      <c r="W57" s="60">
        <f>1/(1-FPP_AT2_AT2)*PF_AT2_AT2*FcoinFP_AT2_AT2*W55</f>
        <v>0</v>
      </c>
      <c r="X57" s="168"/>
      <c r="Y57" s="168"/>
      <c r="Z57" s="168"/>
      <c r="AA57" s="250">
        <f>SUM(W57:Z57)*$AA$55</f>
        <v>0</v>
      </c>
    </row>
    <row r="58" spans="2:27" x14ac:dyDescent="0.2">
      <c r="B58" s="3" t="s">
        <v>8</v>
      </c>
      <c r="C58" s="176">
        <f>'DADOS-Diversos'!C48</f>
        <v>0</v>
      </c>
      <c r="D58" s="176">
        <f>'DADOS-Diversos'!D48</f>
        <v>0</v>
      </c>
      <c r="E58" s="60">
        <f>'DADOS-Diversos'!E48</f>
        <v>0</v>
      </c>
      <c r="F58" s="60">
        <f>'DADOS-Diversos'!F48</f>
        <v>0</v>
      </c>
      <c r="G58" s="176">
        <f>'Aux_FIO A'!$D$54</f>
        <v>7.2118523564174266</v>
      </c>
      <c r="H58" s="176">
        <f>'Aux_FIO A'!$E$54</f>
        <v>6.6025014646289026</v>
      </c>
      <c r="J58" s="60">
        <f t="shared" si="9"/>
        <v>0</v>
      </c>
      <c r="K58" s="60">
        <f t="shared" si="9"/>
        <v>0</v>
      </c>
      <c r="M58" s="60">
        <f>'DADOS-Diversos'!H63</f>
        <v>0</v>
      </c>
      <c r="O58" s="12" t="s">
        <v>8</v>
      </c>
      <c r="P58" s="60">
        <f>1/(1-FPP_AT2_AT3)*PF_AT2_AT3*FcoinP_AT2_AT3*P55</f>
        <v>0</v>
      </c>
      <c r="Q58" s="60">
        <f>1/(1-FPP_AT3_AT3)*PF_AT3_AT3*FcoinP_AT3_AT3*Q55</f>
        <v>0</v>
      </c>
      <c r="R58" s="168"/>
      <c r="S58" s="168"/>
      <c r="T58" s="250">
        <f>SUM(P58:S58)*$T$55</f>
        <v>0</v>
      </c>
      <c r="V58" s="12" t="s">
        <v>8</v>
      </c>
      <c r="W58" s="60">
        <f>1/(1-FPP_AT2_AT3)*PF_AT2_AT3*FcoinFP_AT2_AT3*W55</f>
        <v>0</v>
      </c>
      <c r="X58" s="60">
        <f>1/(1-FPP_AT3_AT3)*PF_AT3_AT3*FcoinFP_AT3_AT3*X55</f>
        <v>0</v>
      </c>
      <c r="Y58" s="168"/>
      <c r="Z58" s="168"/>
      <c r="AA58" s="250">
        <f>SUM(W58:Z58)*$AA$55</f>
        <v>0</v>
      </c>
    </row>
    <row r="59" spans="2:27" x14ac:dyDescent="0.2">
      <c r="B59" s="3" t="s">
        <v>6</v>
      </c>
      <c r="C59" s="176">
        <f>('DADOS-Diversos'!C49+'DADOS-Diversos'!C50)</f>
        <v>0</v>
      </c>
      <c r="D59" s="176">
        <f>('DADOS-Diversos'!D49+'DADOS-Diversos'!D50)</f>
        <v>0</v>
      </c>
      <c r="E59" s="60">
        <f>('DADOS-Diversos'!E49+'DADOS-Diversos'!E50)</f>
        <v>0</v>
      </c>
      <c r="F59" s="60">
        <f>('DADOS-Diversos'!F49+'DADOS-Diversos'!F50)</f>
        <v>0</v>
      </c>
      <c r="G59" s="176">
        <f>'Aux_FIO A'!$D$55</f>
        <v>24.38436032624637</v>
      </c>
      <c r="H59" s="176">
        <f>'Aux_FIO A'!$E$55</f>
        <v>21.609122573234092</v>
      </c>
      <c r="J59" s="60">
        <f t="shared" si="9"/>
        <v>0</v>
      </c>
      <c r="K59" s="60">
        <f t="shared" si="9"/>
        <v>0</v>
      </c>
      <c r="M59" s="60"/>
      <c r="O59" s="12" t="s">
        <v>6</v>
      </c>
      <c r="P59" s="60">
        <f>1/(1-FPP_AT2_MT)*PF_AT2_MT*FcoinP_AT2_MT*P55</f>
        <v>0</v>
      </c>
      <c r="Q59" s="60">
        <f>1/(1-FPP_AT3_MT)*PF_AT3_MT*FcoinP_AT3_MT*Q55</f>
        <v>0</v>
      </c>
      <c r="R59" s="60">
        <f>1/(1-FPP_MT_MT)*PF_MT_MT*FcoinP_MT_MT*R55</f>
        <v>0</v>
      </c>
      <c r="S59" s="168"/>
      <c r="T59" s="250">
        <f>SUM(P59:S59)*$T$55</f>
        <v>0</v>
      </c>
      <c r="V59" s="12" t="s">
        <v>6</v>
      </c>
      <c r="W59" s="60">
        <f>1/(1-FPP_AT2_MT)*PF_AT2_MT*FcoinFP_AT2_MT*W55</f>
        <v>0</v>
      </c>
      <c r="X59" s="60">
        <f>1/(1-FPP_AT3_MT)*PF_AT3_MT*FcoinFP_AT3_MT*X55</f>
        <v>0</v>
      </c>
      <c r="Y59" s="60">
        <f>1/(1-FPP_MT_MT)*PF_MT_MT*FcoinFP_MT_MT*Y55</f>
        <v>0</v>
      </c>
      <c r="Z59" s="168"/>
      <c r="AA59" s="250">
        <f>SUM(W59:Z59)*$AA$55</f>
        <v>0</v>
      </c>
    </row>
    <row r="60" spans="2:27" x14ac:dyDescent="0.2">
      <c r="B60" s="3" t="s">
        <v>20</v>
      </c>
      <c r="C60" s="176">
        <f>('DADOS-Diversos'!C51+'DADOS-Diversos'!C52)</f>
        <v>0</v>
      </c>
      <c r="D60" s="176">
        <f>('DADOS-Diversos'!D51+'DADOS-Diversos'!D52)</f>
        <v>0</v>
      </c>
      <c r="E60" s="60">
        <f>('DADOS-Diversos'!E51+'DADOS-Diversos'!E52)</f>
        <v>0</v>
      </c>
      <c r="F60" s="60">
        <f>('DADOS-Diversos'!F51+'DADOS-Diversos'!F52)</f>
        <v>0</v>
      </c>
      <c r="G60" s="176">
        <f>'Aux_FIO A'!$D$56</f>
        <v>0</v>
      </c>
      <c r="H60" s="176">
        <f>'Aux_FIO A'!$E$56</f>
        <v>0</v>
      </c>
      <c r="J60" s="60">
        <f t="shared" si="9"/>
        <v>0</v>
      </c>
      <c r="K60" s="60">
        <f t="shared" si="9"/>
        <v>0</v>
      </c>
      <c r="M60" s="60"/>
      <c r="O60" s="12" t="s">
        <v>20</v>
      </c>
      <c r="P60" s="60">
        <f>1/(1-FPP_AT2_BT)*PF_AT2_BT*FcoinP_AT2_BT*P55</f>
        <v>0</v>
      </c>
      <c r="Q60" s="60">
        <f>1/(1-FPP_AT3_BT)*PF_AT3_BT*FcoinP_AT3_BT*Q55</f>
        <v>0</v>
      </c>
      <c r="R60" s="60">
        <f>1/(1-FPP_MT_BT)*PF_MT_BT*FcoinP_MT_BT*R55</f>
        <v>0</v>
      </c>
      <c r="S60" s="60">
        <f>1/(1-FPP_BT_BT)*PF_BT_BT*FcoinP_BT_BT*S55</f>
        <v>0</v>
      </c>
      <c r="T60" s="250">
        <f>SUM(P60:S60)*$T$55</f>
        <v>0</v>
      </c>
      <c r="V60" s="12" t="s">
        <v>20</v>
      </c>
      <c r="W60" s="60">
        <f>1/(1-FPP_AT2_BT)*PF_AT2_BT*FcoinFP_AT2_BT*W55</f>
        <v>0</v>
      </c>
      <c r="X60" s="60">
        <f>1/(1-FPP_AT3_BT)*PF_AT3_BT*FcoinFP_AT3_BT*X55</f>
        <v>0</v>
      </c>
      <c r="Y60" s="60">
        <f>1/(1-FPP_MT_BT)*PF_MT_BT*FcoinFP_MT_BT*Y55</f>
        <v>0</v>
      </c>
      <c r="Z60" s="60">
        <f>1/(1-FPP_BT_BT)*PF_BT_BT*FcoinFP_BT_BT*Z55</f>
        <v>0</v>
      </c>
      <c r="AA60" s="250">
        <f>SUM(W60:Z60)*$AA$55</f>
        <v>0</v>
      </c>
    </row>
    <row r="61" spans="2:27" x14ac:dyDescent="0.2">
      <c r="B61" s="1"/>
      <c r="C61" s="1"/>
      <c r="L61" s="180" t="s">
        <v>569</v>
      </c>
      <c r="M61" s="75">
        <f>SUM(M57:M60)</f>
        <v>0</v>
      </c>
    </row>
    <row r="62" spans="2:27" x14ac:dyDescent="0.2">
      <c r="B62" s="1"/>
      <c r="C62" s="1"/>
      <c r="L62" s="180" t="s">
        <v>571</v>
      </c>
      <c r="M62" s="179">
        <f>IFERROR(M61/SUM(E57:E60,F57:F60),)</f>
        <v>0</v>
      </c>
      <c r="T62" s="16" t="str">
        <f>IF(ROUND((T57*'FIO B'!$E$7+'FIO B'!$F$7*'FIO A'!AA57+'FIO A'!T58*'FIO B'!$E$8+'FIO B'!$F$8*'FIO A'!AA58+'FIO A'!T59*'FIO B'!$E$9+'FIO B'!$F$9*'FIO A'!AA59+'FIO A'!T60*SUM('FIO B'!$E$10:$E$11)+SUM('FIO B'!$F$10:$F$11)*'FIO A'!AA60)-(SUM('FIO A'!E57:F60)-M61),3)&lt;&gt;0,"ERRO","OK")</f>
        <v>OK</v>
      </c>
    </row>
    <row r="64" spans="2:27" x14ac:dyDescent="0.2">
      <c r="B64" s="1" t="s">
        <v>605</v>
      </c>
    </row>
    <row r="65" spans="2:16" x14ac:dyDescent="0.2">
      <c r="B65" s="777" t="s">
        <v>587</v>
      </c>
      <c r="C65" s="824"/>
      <c r="D65" s="824"/>
      <c r="E65" s="824"/>
      <c r="F65" s="824"/>
      <c r="G65" s="824"/>
      <c r="H65" s="778"/>
      <c r="J65" s="777" t="s">
        <v>588</v>
      </c>
      <c r="K65" s="824"/>
      <c r="L65" s="824"/>
      <c r="M65" s="824"/>
      <c r="N65" s="824"/>
      <c r="O65" s="824"/>
      <c r="P65" s="778"/>
    </row>
    <row r="66" spans="2:16" x14ac:dyDescent="0.2">
      <c r="B66" s="47"/>
      <c r="C66" s="47" t="s">
        <v>585</v>
      </c>
      <c r="D66" s="47" t="s">
        <v>514</v>
      </c>
      <c r="E66" s="47" t="s">
        <v>582</v>
      </c>
      <c r="F66" s="47" t="s">
        <v>564</v>
      </c>
      <c r="G66" s="47" t="s">
        <v>572</v>
      </c>
      <c r="H66" s="47" t="s">
        <v>586</v>
      </c>
      <c r="J66" s="47"/>
      <c r="K66" s="47" t="s">
        <v>585</v>
      </c>
      <c r="L66" s="47" t="s">
        <v>514</v>
      </c>
      <c r="M66" s="47" t="s">
        <v>582</v>
      </c>
      <c r="N66" s="47" t="s">
        <v>564</v>
      </c>
      <c r="O66" s="47" t="s">
        <v>572</v>
      </c>
      <c r="P66" s="47" t="s">
        <v>589</v>
      </c>
    </row>
    <row r="67" spans="2:16" x14ac:dyDescent="0.2">
      <c r="B67" s="3" t="s">
        <v>7</v>
      </c>
      <c r="C67" s="75">
        <f>TR_RB_A2_P</f>
        <v>0</v>
      </c>
      <c r="D67" s="75">
        <f>TR_FR_A2_P</f>
        <v>0</v>
      </c>
      <c r="E67" s="75">
        <f>TR_CUSD_A2_P</f>
        <v>0</v>
      </c>
      <c r="F67" s="75">
        <f>TR_CCT_A2_P</f>
        <v>0</v>
      </c>
      <c r="G67" s="75">
        <f>TR_CCD_A2_P</f>
        <v>0</v>
      </c>
      <c r="H67" s="75">
        <f>SUM(C67:G67)</f>
        <v>0</v>
      </c>
      <c r="J67" s="12" t="s">
        <v>7</v>
      </c>
      <c r="K67" s="75">
        <f>TR_RB_A2_FP</f>
        <v>0</v>
      </c>
      <c r="L67" s="75">
        <f>TR_FR_A2_FP</f>
        <v>0</v>
      </c>
      <c r="M67" s="75">
        <f>TR_CUSD_A2_FP</f>
        <v>0</v>
      </c>
      <c r="N67" s="75">
        <f>TR_CCT_A2_FP</f>
        <v>0</v>
      </c>
      <c r="O67" s="75">
        <f>TR_CCD_A2_FP</f>
        <v>0</v>
      </c>
      <c r="P67" s="75">
        <f>SUM(K67:O67)</f>
        <v>0</v>
      </c>
    </row>
    <row r="68" spans="2:16" x14ac:dyDescent="0.2">
      <c r="B68" s="3" t="s">
        <v>8</v>
      </c>
      <c r="C68" s="75">
        <f>TR_RB_A3_P</f>
        <v>0</v>
      </c>
      <c r="D68" s="75">
        <f>TR_FR_A3_P</f>
        <v>0</v>
      </c>
      <c r="E68" s="75">
        <f>TR_CUSD_A3_P</f>
        <v>0</v>
      </c>
      <c r="F68" s="75">
        <f>TR_CCT_A3_P</f>
        <v>0</v>
      </c>
      <c r="G68" s="75">
        <f>TR_CCD_A3_P</f>
        <v>0</v>
      </c>
      <c r="H68" s="75">
        <f>SUM(C68:G68)</f>
        <v>0</v>
      </c>
      <c r="J68" s="12" t="s">
        <v>8</v>
      </c>
      <c r="K68" s="75">
        <f>TR_RB_A3_FP</f>
        <v>0</v>
      </c>
      <c r="L68" s="75">
        <f>TR_FR_A3_FP</f>
        <v>0</v>
      </c>
      <c r="M68" s="75">
        <f>TR_CUSD_A3_FP</f>
        <v>0</v>
      </c>
      <c r="N68" s="75">
        <f>TR_CCT_A3_FP</f>
        <v>0</v>
      </c>
      <c r="O68" s="75">
        <f>TR_CCD_A3_FP</f>
        <v>0</v>
      </c>
      <c r="P68" s="75">
        <f>SUM(K68:O68)</f>
        <v>0</v>
      </c>
    </row>
    <row r="69" spans="2:16" x14ac:dyDescent="0.2">
      <c r="B69" s="3" t="s">
        <v>6</v>
      </c>
      <c r="C69" s="75">
        <f>TR_RB_MT_P</f>
        <v>9.6536380684834793</v>
      </c>
      <c r="D69" s="75">
        <f>TR_FR_MT_P</f>
        <v>7.6998326951142584</v>
      </c>
      <c r="E69" s="75">
        <f>TR_CUSD_MT_P</f>
        <v>0</v>
      </c>
      <c r="F69" s="75">
        <f>TR_CCT_MT_P</f>
        <v>2.2940512674423017</v>
      </c>
      <c r="G69" s="75">
        <f>TR_CCD_MT_P</f>
        <v>0</v>
      </c>
      <c r="H69" s="75">
        <f>SUM(C69:G69)</f>
        <v>19.64752203104004</v>
      </c>
      <c r="J69" s="12" t="s">
        <v>6</v>
      </c>
      <c r="K69" s="75">
        <f>TR_RB_MT_FP</f>
        <v>9.234055206491302</v>
      </c>
      <c r="L69" s="75">
        <f>TR_FR_MT_FP</f>
        <v>7.0922020503224088</v>
      </c>
      <c r="M69" s="75">
        <f>TR_CUSD_MT_FP</f>
        <v>0</v>
      </c>
      <c r="N69" s="75">
        <f>TR_CCT_MT_FP</f>
        <v>1.7542903742622362</v>
      </c>
      <c r="O69" s="75">
        <f>TR_CCD_MT_FP</f>
        <v>0</v>
      </c>
      <c r="P69" s="75">
        <f>SUM(K69:O69)</f>
        <v>18.080547631075948</v>
      </c>
    </row>
    <row r="70" spans="2:16" x14ac:dyDescent="0.2">
      <c r="B70" s="3" t="s">
        <v>20</v>
      </c>
      <c r="C70" s="75">
        <f>TR_RB_BT_P</f>
        <v>10.493947129188504</v>
      </c>
      <c r="D70" s="75">
        <f>TR_FR_BT_P</f>
        <v>8.4882508968672887</v>
      </c>
      <c r="E70" s="75">
        <f>TR_CUSD_BT_P</f>
        <v>0</v>
      </c>
      <c r="F70" s="75">
        <f>TR_CCT_BT_P</f>
        <v>2.5290057487182684</v>
      </c>
      <c r="G70" s="75">
        <f>TR_CCD_BT_P</f>
        <v>0</v>
      </c>
      <c r="H70" s="75">
        <f>SUM(C70:G70)</f>
        <v>21.51120377477406</v>
      </c>
      <c r="J70" s="12" t="s">
        <v>20</v>
      </c>
      <c r="K70" s="75">
        <f>TR_RB_BT_FP</f>
        <v>8.7845085837108279</v>
      </c>
      <c r="L70" s="75">
        <f>TR_FR_BT_FP</f>
        <v>6.1375314941015695</v>
      </c>
      <c r="M70" s="75">
        <f>TR_CUSD_BT_FP</f>
        <v>0</v>
      </c>
      <c r="N70" s="75">
        <f>TR_CCT_BT_FP</f>
        <v>1.5217362382246602</v>
      </c>
      <c r="O70" s="75">
        <f>TR_CCD_BT_FP</f>
        <v>0</v>
      </c>
      <c r="P70" s="75">
        <f>SUM(K70:O70)</f>
        <v>16.443776316037059</v>
      </c>
    </row>
    <row r="71" spans="2:16" x14ac:dyDescent="0.2">
      <c r="C71" s="16" t="str">
        <f>$T$14</f>
        <v>OK</v>
      </c>
      <c r="D71" s="16" t="str">
        <f>$T$26</f>
        <v>OK</v>
      </c>
      <c r="E71" s="16" t="str">
        <f>T62</f>
        <v>OK</v>
      </c>
      <c r="F71" s="16" t="str">
        <f>T38</f>
        <v>OK</v>
      </c>
      <c r="G71" s="16" t="str">
        <f>T50</f>
        <v>OK</v>
      </c>
    </row>
    <row r="72" spans="2:16" x14ac:dyDescent="0.2">
      <c r="B72" s="1" t="s">
        <v>337</v>
      </c>
    </row>
    <row r="73" spans="2:16" ht="15" customHeight="1" x14ac:dyDescent="0.2">
      <c r="B73" s="825" t="s">
        <v>337</v>
      </c>
      <c r="C73" s="826"/>
      <c r="D73" s="826"/>
      <c r="E73" s="826"/>
      <c r="F73" s="826"/>
      <c r="G73" s="826"/>
      <c r="H73" s="827"/>
      <c r="J73" s="781" t="s">
        <v>716</v>
      </c>
      <c r="K73" s="782"/>
      <c r="L73" s="782"/>
      <c r="M73" s="782"/>
      <c r="N73" s="782"/>
      <c r="O73" s="782"/>
      <c r="P73" s="782"/>
    </row>
    <row r="74" spans="2:16" ht="21" customHeight="1" x14ac:dyDescent="0.2">
      <c r="B74" s="183"/>
      <c r="C74" s="183" t="s">
        <v>585</v>
      </c>
      <c r="D74" s="183" t="s">
        <v>514</v>
      </c>
      <c r="E74" s="183" t="s">
        <v>582</v>
      </c>
      <c r="F74" s="183" t="s">
        <v>564</v>
      </c>
      <c r="G74" s="183" t="s">
        <v>572</v>
      </c>
      <c r="H74" s="183" t="s">
        <v>3574</v>
      </c>
      <c r="J74" s="47"/>
      <c r="K74" s="47" t="s">
        <v>585</v>
      </c>
      <c r="L74" s="47" t="s">
        <v>514</v>
      </c>
      <c r="M74" s="47" t="s">
        <v>582</v>
      </c>
      <c r="N74" s="47" t="s">
        <v>564</v>
      </c>
      <c r="O74" s="47" t="s">
        <v>572</v>
      </c>
      <c r="P74" s="47" t="s">
        <v>517</v>
      </c>
    </row>
    <row r="75" spans="2:16" x14ac:dyDescent="0.2">
      <c r="B75" s="3" t="s">
        <v>7</v>
      </c>
      <c r="C75" s="75">
        <f>IFERROR(TR_RB_A2_P/TR_RB_A2_FP,)</f>
        <v>0</v>
      </c>
      <c r="D75" s="75">
        <f>IFERROR(TR_FR_A2_P/TR_FR_A2_FP,)</f>
        <v>0</v>
      </c>
      <c r="E75" s="75">
        <f>IFERROR(TR_CUSD_A2_P/TR_CUSD_A2_FP,)</f>
        <v>0</v>
      </c>
      <c r="F75" s="75">
        <f>IFERROR(TR_CCT_A2_P/TR_CCT_A2_FP,)</f>
        <v>0</v>
      </c>
      <c r="G75" s="75">
        <f>IFERROR(TR_CCD_A2_P/TR_CCD_A2_FP,)</f>
        <v>0</v>
      </c>
      <c r="H75" s="75">
        <f>IFERROR(TR_FIOA_A2_P/TR_FIOA_A2_FP,)</f>
        <v>0</v>
      </c>
      <c r="J75" s="12" t="s">
        <v>20</v>
      </c>
      <c r="K75" s="75">
        <f>(TR_RB_BT_P*'Aux_FIO A'!$L$35*'FIO B'!$C$27+TR_RB_BT_FP*'Aux_FIO A'!$L$36*'FIO B'!$C$28)*12000/SUM('DADOS-Mercado'!$Q$45:$Q$50)</f>
        <v>52.126487793170142</v>
      </c>
      <c r="L75" s="75">
        <f>(TR_FR_BT_P*'Aux_FIO A'!$L$35*'FIO B'!$C$27+TR_FR_BT_FP*'Aux_FIO A'!$L$36*'FIO B'!$C$28)*12000/SUM('DADOS-Mercado'!$Q$45:$Q$50)</f>
        <v>39.335081906047471</v>
      </c>
      <c r="M75" s="75">
        <f>(TR_CUSD_BT_P*'Aux_FIO A'!$L$35*'FIO B'!$C$27+TR_CUSD_BT_FP*'Aux_FIO A'!$L$36*'FIO B'!$C$28)*12000/SUM('DADOS-Mercado'!$Q$45:$Q$50)</f>
        <v>0</v>
      </c>
      <c r="N75" s="75">
        <f>(TR_CCT_BT_P*'Aux_FIO A'!$L$35*'FIO B'!$C$27+TR_CCT_BT_FP*'Aux_FIO A'!$L$36*'FIO B'!$C$28)*12000/SUM('DADOS-Mercado'!$Q$45:$Q$50)</f>
        <v>10.82282535305141</v>
      </c>
      <c r="O75" s="75">
        <f>(TR_CCD_BT_P*'Aux_FIO A'!$L$35*'FIO B'!$C$27+TR_CCD_BT_FP*'Aux_FIO A'!$L$36*'FIO B'!$C$28)*12000/SUM('DADOS-Mercado'!$Q$45:$Q$50)</f>
        <v>0</v>
      </c>
      <c r="P75" s="75">
        <f>(TR_FIOA_BT_P*'Aux_FIO A'!$L$35*'FIO B'!$C$27+TR_FIOA_BT_FP*'Aux_FIO A'!$L$36*'FIO B'!$C$28)*12000/SUM('DADOS-Mercado'!$Q$45:$Q$50)</f>
        <v>102.28439505226903</v>
      </c>
    </row>
    <row r="76" spans="2:16" x14ac:dyDescent="0.2">
      <c r="B76" s="3" t="s">
        <v>8</v>
      </c>
      <c r="C76" s="75">
        <f>IFERROR(TR_RB_A3_P/TR_RB_A3_FP,)</f>
        <v>0</v>
      </c>
      <c r="D76" s="75">
        <f>IFERROR(TR_FR_A3_P/TR_FR_A3_FP,)</f>
        <v>0</v>
      </c>
      <c r="E76" s="75">
        <f>IFERROR(TR_CUSD_A3_P/TR_CUSD_A3_FP,)</f>
        <v>0</v>
      </c>
      <c r="F76" s="75">
        <f>IFERROR(TR_CCT_A3_P/TR_CCT_A3_FP,)</f>
        <v>0</v>
      </c>
      <c r="G76" s="75">
        <f>IFERROR(TR_CCD_A3_P/TR_CCD_A3_FP,)</f>
        <v>0</v>
      </c>
      <c r="H76" s="75">
        <f>IFERROR(TR_FIOA_A3_P/TR_FIOA_A3_FP,)</f>
        <v>0</v>
      </c>
      <c r="P76" s="16" t="str">
        <f>IF(SUM(K75:O75)&lt;&gt;P75,"ERRO","OK")</f>
        <v>OK</v>
      </c>
    </row>
    <row r="77" spans="2:16" x14ac:dyDescent="0.2">
      <c r="B77" s="3" t="s">
        <v>6</v>
      </c>
      <c r="C77" s="75">
        <f>IFERROR(TR_RB_MT_P/TR_RB_MT_FP,)</f>
        <v>1.0454386347719928</v>
      </c>
      <c r="D77" s="75">
        <f>IFERROR(TR_FR_MT_P/TR_FR_MT_FP,)</f>
        <v>1.0856758790119674</v>
      </c>
      <c r="E77" s="75">
        <f>IFERROR(TR_CUSD_MT_P/TR_CUSD_MT_FP,)</f>
        <v>0</v>
      </c>
      <c r="F77" s="75">
        <f>IFERROR(TR_CCT_MT_P/TR_CCT_MT_FP,)</f>
        <v>1.3076804735972294</v>
      </c>
      <c r="G77" s="75">
        <f>IFERROR(TR_CCD_MT_P/TR_CCD_MT_FP,)</f>
        <v>0</v>
      </c>
      <c r="H77" s="75">
        <f>IFERROR(TR_FIOA_MT_P/TR_FIOA_MT_FP,)</f>
        <v>1.0866663129866074</v>
      </c>
    </row>
    <row r="78" spans="2:16" x14ac:dyDescent="0.2">
      <c r="B78" s="3" t="s">
        <v>20</v>
      </c>
      <c r="C78" s="75">
        <f>IFERROR(TR_RB_BT_P/TR_RB_BT_FP,)</f>
        <v>1.194596946338865</v>
      </c>
      <c r="D78" s="75">
        <f>IFERROR(TR_FR_BT_P/TR_FR_BT_FP,)</f>
        <v>1.3830073059543337</v>
      </c>
      <c r="E78" s="75">
        <f>IFERROR(TR_CUSD_BT_P/TR_CUSD_BT_FP,)</f>
        <v>0</v>
      </c>
      <c r="F78" s="75">
        <f>IFERROR(TR_CCT_BT_P/TR_CCT_BT_FP,)</f>
        <v>1.6619212220829698</v>
      </c>
      <c r="G78" s="75">
        <f>IFERROR(TR_CCD_BT_P/TR_CCD_BT_FP,)</f>
        <v>0</v>
      </c>
      <c r="H78" s="75">
        <f>IFERROR(TR_FIOA_BT_P/TR_FIOA_BT_FP,)</f>
        <v>1.3081668931360317</v>
      </c>
    </row>
  </sheetData>
  <mergeCells count="27">
    <mergeCell ref="C30:E30"/>
    <mergeCell ref="C42:E42"/>
    <mergeCell ref="C6:D6"/>
    <mergeCell ref="E6:F6"/>
    <mergeCell ref="J6:K6"/>
    <mergeCell ref="C18:D18"/>
    <mergeCell ref="E18:F18"/>
    <mergeCell ref="J18:K18"/>
    <mergeCell ref="O42:S42"/>
    <mergeCell ref="V42:Z42"/>
    <mergeCell ref="O54:S54"/>
    <mergeCell ref="V54:Z54"/>
    <mergeCell ref="J30:K30"/>
    <mergeCell ref="J42:K42"/>
    <mergeCell ref="O6:S6"/>
    <mergeCell ref="V6:Z6"/>
    <mergeCell ref="O18:S18"/>
    <mergeCell ref="V18:Z18"/>
    <mergeCell ref="O30:S30"/>
    <mergeCell ref="V30:Z30"/>
    <mergeCell ref="B65:H65"/>
    <mergeCell ref="J65:P65"/>
    <mergeCell ref="B73:H73"/>
    <mergeCell ref="C54:D54"/>
    <mergeCell ref="E54:F54"/>
    <mergeCell ref="J54:K54"/>
    <mergeCell ref="J73:P73"/>
  </mergeCells>
  <conditionalFormatting sqref="T14">
    <cfRule type="cellIs" dxfId="74" priority="23" operator="equal">
      <formula>"ERRO"</formula>
    </cfRule>
    <cfRule type="cellIs" dxfId="73" priority="24" operator="equal">
      <formula>"OK"</formula>
    </cfRule>
  </conditionalFormatting>
  <conditionalFormatting sqref="D71:G71">
    <cfRule type="cellIs" dxfId="72" priority="3" operator="equal">
      <formula>"ERRO"</formula>
    </cfRule>
    <cfRule type="cellIs" dxfId="71" priority="4" operator="equal">
      <formula>"OK"</formula>
    </cfRule>
  </conditionalFormatting>
  <conditionalFormatting sqref="T26">
    <cfRule type="cellIs" dxfId="70" priority="15" operator="equal">
      <formula>"ERRO"</formula>
    </cfRule>
    <cfRule type="cellIs" dxfId="69" priority="16" operator="equal">
      <formula>"OK"</formula>
    </cfRule>
  </conditionalFormatting>
  <conditionalFormatting sqref="T38">
    <cfRule type="cellIs" dxfId="68" priority="13" operator="equal">
      <formula>"ERRO"</formula>
    </cfRule>
    <cfRule type="cellIs" dxfId="67" priority="14" operator="equal">
      <formula>"OK"</formula>
    </cfRule>
  </conditionalFormatting>
  <conditionalFormatting sqref="T50">
    <cfRule type="cellIs" dxfId="66" priority="11" operator="equal">
      <formula>"ERRO"</formula>
    </cfRule>
    <cfRule type="cellIs" dxfId="65" priority="12" operator="equal">
      <formula>"OK"</formula>
    </cfRule>
  </conditionalFormatting>
  <conditionalFormatting sqref="T62">
    <cfRule type="cellIs" dxfId="64" priority="9" operator="equal">
      <formula>"ERRO"</formula>
    </cfRule>
    <cfRule type="cellIs" dxfId="63" priority="10" operator="equal">
      <formula>"OK"</formula>
    </cfRule>
  </conditionalFormatting>
  <conditionalFormatting sqref="C71">
    <cfRule type="cellIs" dxfId="62" priority="5" operator="equal">
      <formula>"ERRO"</formula>
    </cfRule>
    <cfRule type="cellIs" dxfId="61" priority="6" operator="equal">
      <formula>"OK"</formula>
    </cfRule>
  </conditionalFormatting>
  <conditionalFormatting sqref="P76">
    <cfRule type="cellIs" dxfId="60" priority="1" operator="equal">
      <formula>"ERRO"</formula>
    </cfRule>
    <cfRule type="cellIs" dxfId="59" priority="2" operator="equal">
      <formula>"OK"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5">
    <tabColor theme="9" tint="-0.249977111117893"/>
  </sheetPr>
  <dimension ref="A1:U51"/>
  <sheetViews>
    <sheetView showGridLines="0" topLeftCell="A10" zoomScaleNormal="100" workbookViewId="0">
      <selection activeCell="L49" sqref="L49"/>
    </sheetView>
  </sheetViews>
  <sheetFormatPr defaultColWidth="9.140625" defaultRowHeight="15" x14ac:dyDescent="0.25"/>
  <cols>
    <col min="1" max="1" width="0.5703125" customWidth="1"/>
    <col min="2" max="2" width="22.42578125" customWidth="1"/>
    <col min="3" max="3" width="19.28515625" customWidth="1"/>
    <col min="4" max="4" width="13.28515625" customWidth="1"/>
    <col min="5" max="5" width="15.42578125" customWidth="1"/>
    <col min="6" max="6" width="15.28515625" customWidth="1"/>
    <col min="7" max="8" width="12.7109375" customWidth="1"/>
    <col min="9" max="9" width="20.85546875" customWidth="1"/>
    <col min="10" max="10" width="17.85546875" customWidth="1"/>
    <col min="11" max="11" width="16" bestFit="1" customWidth="1"/>
    <col min="12" max="12" width="16.42578125" bestFit="1" customWidth="1"/>
    <col min="13" max="13" width="15.28515625" bestFit="1" customWidth="1"/>
    <col min="14" max="14" width="18" bestFit="1" customWidth="1"/>
    <col min="15" max="15" width="16.28515625" bestFit="1" customWidth="1"/>
  </cols>
  <sheetData>
    <row r="1" spans="2:21" x14ac:dyDescent="0.25">
      <c r="E1" s="24" t="s">
        <v>62</v>
      </c>
      <c r="F1" s="9">
        <v>2</v>
      </c>
      <c r="J1" s="396"/>
    </row>
    <row r="2" spans="2:21" x14ac:dyDescent="0.25">
      <c r="B2" s="1" t="s">
        <v>690</v>
      </c>
      <c r="C2" s="1"/>
      <c r="D2" s="1"/>
      <c r="E2" s="24" t="s">
        <v>63</v>
      </c>
      <c r="F2" s="31">
        <v>44714</v>
      </c>
      <c r="J2" s="396"/>
    </row>
    <row r="3" spans="2:21" ht="3" customHeight="1" x14ac:dyDescent="0.25">
      <c r="B3" s="1"/>
      <c r="C3" s="1"/>
      <c r="D3" s="1"/>
      <c r="J3" s="396"/>
      <c r="K3" s="397" t="s">
        <v>512</v>
      </c>
      <c r="L3" s="398"/>
      <c r="M3" s="398"/>
    </row>
    <row r="4" spans="2:21" s="2" customFormat="1" ht="12.75" x14ac:dyDescent="0.2">
      <c r="B4" s="833" t="s">
        <v>3253</v>
      </c>
      <c r="C4" s="828" t="s">
        <v>612</v>
      </c>
      <c r="D4" s="829"/>
      <c r="E4" s="828" t="s">
        <v>604</v>
      </c>
      <c r="F4" s="829"/>
      <c r="G4" s="154" t="s">
        <v>337</v>
      </c>
      <c r="H4" s="154" t="s">
        <v>337</v>
      </c>
      <c r="I4" s="154" t="s">
        <v>337</v>
      </c>
      <c r="K4" s="24" t="s">
        <v>602</v>
      </c>
      <c r="L4" s="24" t="s">
        <v>602</v>
      </c>
      <c r="M4" s="24" t="s">
        <v>602</v>
      </c>
    </row>
    <row r="5" spans="2:21" s="2" customFormat="1" ht="12.75" x14ac:dyDescent="0.2">
      <c r="B5" s="834"/>
      <c r="C5" s="154" t="s">
        <v>339</v>
      </c>
      <c r="D5" s="154" t="s">
        <v>340</v>
      </c>
      <c r="E5" s="154" t="s">
        <v>339</v>
      </c>
      <c r="F5" s="154" t="s">
        <v>340</v>
      </c>
      <c r="G5" s="154" t="s">
        <v>606</v>
      </c>
      <c r="H5" s="178" t="s">
        <v>517</v>
      </c>
      <c r="I5" s="154" t="s">
        <v>512</v>
      </c>
      <c r="J5" s="404"/>
      <c r="K5" s="24" t="s">
        <v>339</v>
      </c>
      <c r="L5" s="24" t="s">
        <v>340</v>
      </c>
      <c r="M5" s="24"/>
    </row>
    <row r="6" spans="2:21" s="2" customFormat="1" ht="12.75" x14ac:dyDescent="0.2">
      <c r="B6" s="835"/>
      <c r="C6" s="154" t="s">
        <v>610</v>
      </c>
      <c r="D6" s="154" t="s">
        <v>610</v>
      </c>
      <c r="E6" s="154" t="s">
        <v>610</v>
      </c>
      <c r="F6" s="154" t="s">
        <v>610</v>
      </c>
      <c r="G6" s="154" t="s">
        <v>615</v>
      </c>
      <c r="H6" s="178"/>
      <c r="I6" s="154" t="s">
        <v>616</v>
      </c>
      <c r="K6" s="399" t="s">
        <v>502</v>
      </c>
      <c r="L6" s="399" t="s">
        <v>502</v>
      </c>
      <c r="M6" s="399" t="s">
        <v>689</v>
      </c>
    </row>
    <row r="7" spans="2:21" s="2" customFormat="1" ht="12.75" x14ac:dyDescent="0.2">
      <c r="B7" s="12" t="s">
        <v>156</v>
      </c>
      <c r="C7" s="17">
        <f>IFERROR('Aux_FIO A'!I35*12000,)</f>
        <v>0</v>
      </c>
      <c r="D7" s="17">
        <f>IFERROR('Aux_FIO A'!I36*12000,)</f>
        <v>0</v>
      </c>
      <c r="E7" s="17">
        <f>'DADOS-Mercado'!$E$40+'DADOS-Mercado'!$M$40</f>
        <v>0</v>
      </c>
      <c r="F7" s="17">
        <f>'DADOS-Mercado'!$F$40+'DADOS-Mercado'!$N$40</f>
        <v>0</v>
      </c>
      <c r="G7" s="187">
        <f>'DADOS-Diversos'!F15</f>
        <v>0</v>
      </c>
      <c r="H7" s="176">
        <f>IFERROR(TR_FIOA_A2_P/TR_FIOA_A2_FP,)</f>
        <v>0</v>
      </c>
      <c r="I7" s="256">
        <f>IF(E7&lt;&gt;0,IF(L17+E7*(C44-D44*G7)&gt;0,IF((G7*(D44*F7+L17)-C44*F7)/(L17+E7*(C44-D44*G7))&lt;'DADOS-Diversos'!H15,(G7*(D44*F7+L17)-C44*F7)/(L17+E7*(C44-D44*G7)),'DADOS-Diversos'!H15),'DADOS-Diversos'!H15),0)</f>
        <v>0</v>
      </c>
      <c r="J7" s="62" t="s">
        <v>156</v>
      </c>
      <c r="K7" s="264">
        <f>L7*I7</f>
        <v>0</v>
      </c>
      <c r="L7" s="405">
        <f>IF(E7&lt;&gt;0,L17/(F7+E7*I7),0)</f>
        <v>0</v>
      </c>
      <c r="M7" s="406"/>
      <c r="P7" s="136"/>
    </row>
    <row r="8" spans="2:21" s="2" customFormat="1" ht="12.75" x14ac:dyDescent="0.2">
      <c r="B8" s="12" t="s">
        <v>157</v>
      </c>
      <c r="C8" s="17">
        <f>IFERROR('Aux_FIO A'!J35*12000,)</f>
        <v>0</v>
      </c>
      <c r="D8" s="17">
        <f>IFERROR('Aux_FIO A'!J36*12000,)</f>
        <v>0</v>
      </c>
      <c r="E8" s="17">
        <f>'DADOS-Mercado'!$E$41+'DADOS-Mercado'!$M$41</f>
        <v>0</v>
      </c>
      <c r="F8" s="17">
        <f>'DADOS-Mercado'!$F$41+'DADOS-Mercado'!$N$41</f>
        <v>0</v>
      </c>
      <c r="G8" s="187">
        <f>'DADOS-Diversos'!F16</f>
        <v>0</v>
      </c>
      <c r="H8" s="176">
        <f>IFERROR(TR_FIOA_A3_P/TR_FIOA_A3_FP,)</f>
        <v>0</v>
      </c>
      <c r="I8" s="256">
        <f>IF(E8&lt;&gt;0,IF(L18+E8*(C45-D45*G8)&gt;0,IF((G8*(D45*F8+L18)-C45*F8)/(L18+E8*(C45-D45*G8))&lt;'DADOS-Diversos'!H16,(G8*(D45*F8+L18)-C45*F8)/(L18+E8*(C45-D45*G8)),'DADOS-Diversos'!H16),'DADOS-Diversos'!H16),0)</f>
        <v>0</v>
      </c>
      <c r="J8" s="62" t="s">
        <v>157</v>
      </c>
      <c r="K8" s="264">
        <f>L8*I8</f>
        <v>0</v>
      </c>
      <c r="L8" s="405">
        <f>IF(F8&lt;&gt;0,L18/(F8+E8*I8),0)</f>
        <v>0</v>
      </c>
      <c r="M8" s="407"/>
      <c r="P8" s="136"/>
    </row>
    <row r="9" spans="2:21" s="2" customFormat="1" ht="12.75" x14ac:dyDescent="0.2">
      <c r="B9" s="12" t="s">
        <v>6</v>
      </c>
      <c r="C9" s="17">
        <f>IFERROR('Aux_FIO A'!K35*12000,)</f>
        <v>28534.933400965361</v>
      </c>
      <c r="D9" s="17">
        <f>IFERROR('Aux_FIO A'!K36*12000,)</f>
        <v>78935.187072460729</v>
      </c>
      <c r="E9" s="17">
        <f>'DADOS-Mercado'!$E$42+'DADOS-Mercado'!$I$42/FC_THSV/756*12000+0.72*'DADOS-Mercado'!$K$42+'DADOS-Mercado'!$E$43+'DADOS-Mercado'!$I$43/FC_THSV/756*12000+0.72*'DADOS-Mercado'!$K$43+'DADOS-Mercado'!$M$42+'DADOS-Mercado'!$M$43</f>
        <v>61440.290524290504</v>
      </c>
      <c r="F9" s="17">
        <f>'DADOS-Mercado'!$F$42+'DADOS-Mercado'!$H$42+'DADOS-Mercado'!$K$42+'DADOS-Mercado'!$F$43+'DADOS-Mercado'!$H$43+'DADOS-Mercado'!$K$43+'DADOS-Mercado'!$N$42+'DADOS-Mercado'!$N$43</f>
        <v>149378</v>
      </c>
      <c r="G9" s="187">
        <f>'DADOS-Diversos'!F17</f>
        <v>1.9582919563058587</v>
      </c>
      <c r="H9" s="176">
        <f>IFERROR(TR_FIOA_MT_P/TR_FIOA_MT_FP,)</f>
        <v>1.0866663129866074</v>
      </c>
      <c r="I9" s="256">
        <f>IF(E9&lt;&gt;0,IF(L19+E9*(C46-D46*G9)&gt;0,IF((G9*(D46*F9+L19)-C46*F9)/(L19+E9*(C46-D46*G9))&lt;'DADOS-Diversos'!H17,(G9*(D46*F9+L19)-C46*F9)/(L19+E9*(C46-D46*G9)),'DADOS-Diversos'!H17),'DADOS-Diversos'!H17),0)*0+'DADOS-Diversos'!G17</f>
        <v>6</v>
      </c>
      <c r="J9" s="62" t="s">
        <v>6</v>
      </c>
      <c r="K9" s="264">
        <f>L9*I9</f>
        <v>31.747969443553274</v>
      </c>
      <c r="L9" s="405">
        <f>IF(F9&lt;&gt;0,L19/(F9+E9*I9),0)</f>
        <v>5.291328240592212</v>
      </c>
      <c r="M9" s="407"/>
      <c r="P9" s="136"/>
    </row>
    <row r="10" spans="2:21" s="2" customFormat="1" ht="12.75" x14ac:dyDescent="0.2">
      <c r="B10" s="12" t="s">
        <v>19</v>
      </c>
      <c r="C10" s="841">
        <f>IFERROR('Aux_FIO A'!L35*12000,)</f>
        <v>255335.43016113294</v>
      </c>
      <c r="D10" s="841">
        <f>IFERROR('Aux_FIO A'!L36*12000,)</f>
        <v>209200.19103175652</v>
      </c>
      <c r="E10" s="17">
        <f>'DADOS-Mercado'!$E$44+'DADOS-Mercado'!$I$44/FC_THSV/756*12000+0.72*'DADOS-Mercado'!$K$44+'DADOS-Mercado'!$M$44</f>
        <v>0</v>
      </c>
      <c r="F10" s="17">
        <f>'DADOS-Mercado'!$F$44+'DADOS-Mercado'!$H$44+'DADOS-Mercado'!$K$44+'DADOS-Mercado'!$N$44</f>
        <v>0</v>
      </c>
      <c r="G10" s="187">
        <f>'DADOS-Diversos'!F18</f>
        <v>0</v>
      </c>
      <c r="H10" s="176">
        <f>IFERROR(TR_FIOA_BT_P/TR_FIOA_BT_FP,)</f>
        <v>1.3081668931360317</v>
      </c>
      <c r="I10" s="176">
        <f>IF(E10&lt;&gt;0,(IF((L20*M20+E10*(C47-D47*G10))&gt;0,IF((G10*(D47*F10+L20*M20)-C47*F10)/(L20*M20+E10*(C47-D47*G10))&lt;'DADOS-Diversos'!H18,(G10*(D47*F10+L20*M20)-C47*F10)/(L20*M20+E10*(C47-D47*G10)),'DADOS-Diversos'!H18),'DADOS-Diversos'!H18)),0)</f>
        <v>0</v>
      </c>
      <c r="J10" s="62" t="s">
        <v>19</v>
      </c>
      <c r="K10" s="264">
        <f>L10*I10</f>
        <v>0</v>
      </c>
      <c r="L10" s="264">
        <f>IF(E10&lt;&gt;0,L20*M20/(F10+E10*I10),0)</f>
        <v>0</v>
      </c>
      <c r="M10" s="408"/>
      <c r="P10" s="136"/>
    </row>
    <row r="11" spans="2:21" s="2" customFormat="1" ht="12.75" x14ac:dyDescent="0.2">
      <c r="B11" s="12" t="s">
        <v>160</v>
      </c>
      <c r="C11" s="842"/>
      <c r="D11" s="842"/>
      <c r="E11" s="17">
        <f>IFERROR('Aux_FIO A'!$L$35*'FIO B'!$C$27*12000,)</f>
        <v>281519.01625641948</v>
      </c>
      <c r="F11" s="17">
        <f>IFERROR('Aux_FIO A'!$L$36*'FIO B'!$C$28*12000,)</f>
        <v>326267.56409338268</v>
      </c>
      <c r="G11" s="187">
        <v>5</v>
      </c>
      <c r="H11" s="176">
        <f>IFERROR(TR_FIOA_BT_P/TR_FIOA_BT_FP,)</f>
        <v>1.3081668931360317</v>
      </c>
      <c r="I11" s="256">
        <f>IF(E11&lt;&gt;0,(IF((L20*M21+E11*(C48-D48*G11))&gt;0,IF((G11*(D48*F11+L20*M21)-C48*F11)/(L20*M21+E11*(C48-D48*G11))&lt;'DADOS-Diversos'!H19,(G11*(D48*F11+L20*M21)-C48*F11)/(L20*M21+E11*(C48-D48*G11)),'DADOS-Diversos'!H19),'DADOS-Diversos'!H19)),0)</f>
        <v>10</v>
      </c>
      <c r="J11" s="62" t="s">
        <v>160</v>
      </c>
      <c r="K11" s="264">
        <f>L11*I11</f>
        <v>42.63617175111122</v>
      </c>
      <c r="L11" s="405">
        <f>IF(E11&lt;&gt;0,L20*M21/(F11+E11*I11),0)</f>
        <v>4.263617175111122</v>
      </c>
      <c r="M11" s="405">
        <f>IF('DADOS-Mercado'!L45&lt;&gt;0,(TR_FIOB_BT_P*'Aux_FIO A'!L35*'FIO B'!C27+TR_FIOB_BT_FP*'Aux_FIO A'!L36*'FIO B'!C28)*12000/SUM('DADOS-Mercado'!L45:L50),0)</f>
        <v>119.95520360262887</v>
      </c>
      <c r="P11" s="136"/>
    </row>
    <row r="12" spans="2:21" x14ac:dyDescent="0.25">
      <c r="U12" s="401"/>
    </row>
    <row r="13" spans="2:21" x14ac:dyDescent="0.25">
      <c r="B13" s="1" t="s">
        <v>590</v>
      </c>
      <c r="H13">
        <v>0</v>
      </c>
    </row>
    <row r="14" spans="2:21" x14ac:dyDescent="0.25">
      <c r="B14" s="1"/>
      <c r="K14" s="1" t="s">
        <v>3251</v>
      </c>
    </row>
    <row r="15" spans="2:21" ht="26.25" x14ac:dyDescent="0.25">
      <c r="B15" s="843" t="s">
        <v>3254</v>
      </c>
      <c r="C15" s="184" t="s">
        <v>598</v>
      </c>
      <c r="D15" s="184" t="s">
        <v>595</v>
      </c>
      <c r="E15" s="154" t="s">
        <v>591</v>
      </c>
      <c r="F15" s="154" t="s">
        <v>592</v>
      </c>
      <c r="G15" s="186" t="s">
        <v>603</v>
      </c>
      <c r="H15" s="186" t="s">
        <v>603</v>
      </c>
      <c r="I15" s="186" t="s">
        <v>677</v>
      </c>
      <c r="J15" s="257" t="s">
        <v>679</v>
      </c>
      <c r="K15" s="154" t="s">
        <v>611</v>
      </c>
      <c r="L15" s="154" t="s">
        <v>613</v>
      </c>
      <c r="M15" s="259" t="s">
        <v>3252</v>
      </c>
      <c r="N15" s="154"/>
    </row>
    <row r="16" spans="2:21" x14ac:dyDescent="0.25">
      <c r="B16" s="843"/>
      <c r="C16" s="185" t="s">
        <v>594</v>
      </c>
      <c r="D16" s="154" t="s">
        <v>596</v>
      </c>
      <c r="E16" s="154"/>
      <c r="F16" s="154"/>
      <c r="G16" s="154" t="s">
        <v>339</v>
      </c>
      <c r="H16" s="154" t="s">
        <v>340</v>
      </c>
      <c r="I16" s="154" t="s">
        <v>678</v>
      </c>
      <c r="J16" s="154"/>
      <c r="K16" s="154"/>
      <c r="L16" s="154" t="s">
        <v>29</v>
      </c>
      <c r="M16" s="258"/>
      <c r="N16" s="258" t="s">
        <v>680</v>
      </c>
    </row>
    <row r="17" spans="2:16" x14ac:dyDescent="0.25">
      <c r="B17" s="3" t="s">
        <v>7</v>
      </c>
      <c r="C17" s="9">
        <v>10</v>
      </c>
      <c r="D17" s="78">
        <f>IFERROR(C21*C17*NUC_A2/($C$17*NUC_A2+$C$18*NUC_A3+$C$19*(NUC_A3a+NUC_A4)+$C$20*(NUC_AS+NUC_B1+NUC_B2+NUC_B3com+NUC_B3ind+NUC_B3sp+NUC_B4)),)</f>
        <v>0</v>
      </c>
      <c r="E17" s="188">
        <f>EV_AT2</f>
        <v>0</v>
      </c>
      <c r="F17" s="188">
        <f>EV_AT2*(1-$C$21)+D17</f>
        <v>0</v>
      </c>
      <c r="G17" s="176">
        <f>IFERROR(H17*I17,)</f>
        <v>0</v>
      </c>
      <c r="H17" s="176">
        <f>IFERROR(F17*($C$24-$C$25)/(C7*I17+D7),)</f>
        <v>0</v>
      </c>
      <c r="I17" s="261"/>
      <c r="J17" s="402" t="str">
        <f>IF(ROUND(I17-I7,3)&lt;&gt;0,"Erro: I19 diferente I9","OK")</f>
        <v>OK</v>
      </c>
      <c r="K17" s="78">
        <f>IFERROR((G17*E7+H17*F7)/($G$17*$E$7+$H$17*$F$7+$G$18*$E$8+$H$18*$F$8+$G$19*$E$9+$H$19*$F$9+$G$20*$E$10+$H$20*$F$10+$G$20*$E$11+$H$20*$F$11),)</f>
        <v>0</v>
      </c>
      <c r="L17" s="60">
        <f>K17*($C$24-$C$25)</f>
        <v>0</v>
      </c>
      <c r="M17" s="260"/>
      <c r="N17" s="136" t="str">
        <f>IF(ROUND((K7*E7+L7*F7)-L17,3)&lt;&gt;0,"Erro","OK")</f>
        <v>OK</v>
      </c>
    </row>
    <row r="18" spans="2:16" x14ac:dyDescent="0.25">
      <c r="B18" s="3" t="s">
        <v>8</v>
      </c>
      <c r="C18" s="9">
        <v>10</v>
      </c>
      <c r="D18" s="78">
        <f>IFERROR(C21*C18*NUC_A3/($C$17*NUC_A2+$C$18*NUC_A3+$C$19*(NUC_A3a+NUC_A4)+$C$20*(NUC_AS+NUC_B1+NUC_B2+NUC_B3com+NUC_B3ind+NUC_B3sp+NUC_B4)),)</f>
        <v>0</v>
      </c>
      <c r="E18" s="188">
        <f>EV_AT3</f>
        <v>0</v>
      </c>
      <c r="F18" s="188">
        <f>EV_AT3*(1-$C$21)+D18</f>
        <v>0</v>
      </c>
      <c r="G18" s="176">
        <f>IFERROR(H18*I18,)</f>
        <v>0</v>
      </c>
      <c r="H18" s="176">
        <f>IFERROR(F18*($C$24-$C$25)/(C8*I18+D8),)</f>
        <v>0</v>
      </c>
      <c r="I18" s="261"/>
      <c r="J18" s="402" t="str">
        <f>IF(ROUND(I18-I8,3)&lt;&gt;0,"Erro: I20 diferente I10","OK")</f>
        <v>OK</v>
      </c>
      <c r="K18" s="78">
        <f>IFERROR((G18*E8+H18*F8)/($G$17*$E$7+$H$17*$F$7+$G$18*$E$8+$H$18*$F$8+$G$19*$E$9+$H$19*$F$9+$G$20*$E$10+$H$20*$F$10+$G$20*$E$11+$H$20*$F$11),)</f>
        <v>0</v>
      </c>
      <c r="L18" s="60">
        <f t="shared" ref="L18:L20" si="0">K18*($C$24-$C$25)</f>
        <v>0</v>
      </c>
      <c r="M18" s="260"/>
      <c r="N18" s="136" t="str">
        <f>IF(ROUND((K8*E8+L8*F8)-L18,3)&lt;&gt;0,"Erro","OK")</f>
        <v>OK</v>
      </c>
    </row>
    <row r="19" spans="2:16" x14ac:dyDescent="0.25">
      <c r="B19" s="3" t="s">
        <v>6</v>
      </c>
      <c r="C19" s="9">
        <v>10</v>
      </c>
      <c r="D19" s="78">
        <f>IFERROR(C21*C19*(NUC_A3a+NUC_A4)/($C$17*NUC_A2+$C$18*NUC_A3+$C$19*(NUC_A3a+NUC_A4)+$C$20*(NUC_AS+NUC_B1+NUC_B2+NUC_B3com+NUC_B3ind+NUC_B3sp+NUC_B4)),)</f>
        <v>2.6757571911831769E-3</v>
      </c>
      <c r="E19" s="188">
        <f>EV_MT</f>
        <v>0.11062540153777171</v>
      </c>
      <c r="F19" s="188">
        <f>EV_MT*(1-$C$21)+D19</f>
        <v>0.10102204301852476</v>
      </c>
      <c r="G19" s="176">
        <f>IFERROR(H19*I19,)</f>
        <v>39.097097979183928</v>
      </c>
      <c r="H19" s="176">
        <f>IFERROR(F19*($C$24-$C$25)/(C9*I19+D9),)</f>
        <v>6.516182996530655</v>
      </c>
      <c r="I19" s="261">
        <v>6</v>
      </c>
      <c r="J19" s="402" t="str">
        <f>IF(ROUND(I19-I9,3)&lt;&gt;0,"Erro: I21 diferente I11","OK")</f>
        <v>OK</v>
      </c>
      <c r="K19" s="78">
        <f>IFERROR((G19*E9+H19*F9)/($G$17*$E$7+$H$17*$F$7+$G$18*$E$8+$H$18*$F$8+$G$19*$E$9+$H$19*$F$9+$G$20*$E$10+$H$20*$F$10+$G$20*$E$11+$H$20*$F$11),)</f>
        <v>0.169880070649267</v>
      </c>
      <c r="L19" s="60">
        <f t="shared" si="0"/>
        <v>2741012.4960913942</v>
      </c>
      <c r="M19" s="260"/>
      <c r="N19" s="136" t="str">
        <f>IF(ROUND((K9*E9+L9*F9)-L19,3)&lt;&gt;0,"Erro","OK")</f>
        <v>OK</v>
      </c>
    </row>
    <row r="20" spans="2:16" x14ac:dyDescent="0.25">
      <c r="B20" s="3" t="s">
        <v>20</v>
      </c>
      <c r="C20" s="9">
        <v>1</v>
      </c>
      <c r="D20" s="78">
        <f>IFERROR(C21*C20*(NUC_AS+NUC_B1+NUC_B2+NUC_B3com+NUC_B3ind+NUC_B3sp+NUC_B4)/($C$17*NUC_A2+$C$18*NUC_A3+$C$19*(NUC_A3a+NUC_A4)+$C$20*(NUC_AS+NUC_B1+NUC_B2+NUC_B3com+NUC_B3ind+NUC_B3sp+NUC_B4)),)</f>
        <v>0.10832149605935151</v>
      </c>
      <c r="E20" s="188">
        <f>EV_BT</f>
        <v>0.88937459846222733</v>
      </c>
      <c r="F20" s="188">
        <f>EV_BT*(1-$C$21)+D20</f>
        <v>0.89897795698147442</v>
      </c>
      <c r="G20" s="176">
        <f>IFERROR(H20*I20,)</f>
        <v>52.505738591385693</v>
      </c>
      <c r="H20" s="176">
        <f>IFERROR(F20*($C$24-$C$25)/(C10*I20+D10),)</f>
        <v>5.2505738591385693</v>
      </c>
      <c r="I20" s="261">
        <v>10</v>
      </c>
      <c r="J20" s="402" t="str">
        <f>IF(ROUND(I20-I11,3)&lt;&gt;0,"Erro: I22 diferente I13","OK")</f>
        <v>OK</v>
      </c>
      <c r="K20" s="78">
        <f>IFERROR((G20*E10+H20*F10+G20*E11+H20*F11)/($G$17*$E$7+$H$17*$F$7+$G$18*$E$8+$H$18*$F$8+$G$19*$E$9+$H$19*$F$9+$G$20*$E$10+$H$20*$F$10+$G$20*$E$11+$H$20*$F$11),)</f>
        <v>0.8301199293507332</v>
      </c>
      <c r="L20" s="60">
        <f t="shared" si="0"/>
        <v>13393973.118262786</v>
      </c>
      <c r="M20" s="78">
        <f>(E10*G20+F10*H20)/($E$10*$G$20+$F$10*$H$20+$E$11*$G$20+$F$11*$H$20)</f>
        <v>0</v>
      </c>
      <c r="N20" s="136" t="str">
        <f>IF(ROUND((K10*E10+L10*F10+E11*K11+L11*F11)-L20,3)&lt;&gt;0,"Erro","OK")</f>
        <v>OK</v>
      </c>
    </row>
    <row r="21" spans="2:16" x14ac:dyDescent="0.25">
      <c r="B21" s="3" t="s">
        <v>597</v>
      </c>
      <c r="C21" s="255">
        <f>IFERROR('DADOS-Diversos'!C25/'DADOS-Diversos'!C24*(LN(SUM('DADOS-Mercado'!C39:C51))-6)/30,)</f>
        <v>0.11099725325053469</v>
      </c>
      <c r="D21" s="2"/>
      <c r="E21" s="2"/>
      <c r="F21" s="179">
        <f>SUM(F17:F20)</f>
        <v>0.99999999999999922</v>
      </c>
      <c r="G21" s="2"/>
      <c r="H21" s="2"/>
      <c r="I21" s="2"/>
      <c r="J21" s="2"/>
      <c r="K21" s="179">
        <f>SUM(K17:K20)</f>
        <v>1.0000000000000002</v>
      </c>
      <c r="L21" s="60">
        <f>SUM(L17:L20)</f>
        <v>16134985.61435418</v>
      </c>
      <c r="M21" s="78">
        <f>(E11*G20+F11*H20)/($E$10*$G$20+$F$10*$H$20+$E$11*$G$20+$F$11*$H$20)</f>
        <v>1</v>
      </c>
      <c r="N21" s="136"/>
    </row>
    <row r="22" spans="2:16" x14ac:dyDescent="0.25">
      <c r="B22" s="2"/>
      <c r="C22" s="2"/>
      <c r="D22" s="254"/>
      <c r="E22" s="2"/>
      <c r="F22" s="136" t="str">
        <f>IF(ROUND(F21,2)&lt;&gt;100%, "ERRO","OK")</f>
        <v>OK</v>
      </c>
      <c r="G22" s="2"/>
      <c r="H22" s="2"/>
      <c r="I22" s="403"/>
      <c r="J22" s="2"/>
      <c r="K22" s="136" t="str">
        <f>IF(K21&lt;&gt;100%, "ERRO","OK")</f>
        <v>OK</v>
      </c>
      <c r="L22" s="136" t="str">
        <f>IF(ROUND(L21-(C24-C25),3)&lt;&gt;0,"Erro","OK")</f>
        <v>OK</v>
      </c>
      <c r="M22" s="136"/>
      <c r="N22" s="2"/>
      <c r="P22" s="400"/>
    </row>
    <row r="23" spans="2:16" s="2" customFormat="1" ht="12.75" x14ac:dyDescent="0.2">
      <c r="I23" s="16"/>
      <c r="L23" s="409"/>
      <c r="M23" s="409"/>
      <c r="N23" s="76"/>
    </row>
    <row r="24" spans="2:16" s="2" customFormat="1" ht="12.75" x14ac:dyDescent="0.2">
      <c r="B24" s="3" t="s">
        <v>278</v>
      </c>
      <c r="C24" s="410">
        <f>'DADOS-Diversos'!C24</f>
        <v>16134985.614354178</v>
      </c>
      <c r="I24" s="16"/>
      <c r="L24" s="76"/>
      <c r="M24" s="76"/>
    </row>
    <row r="25" spans="2:16" s="2" customFormat="1" ht="12.75" x14ac:dyDescent="0.2">
      <c r="B25" s="3" t="s">
        <v>607</v>
      </c>
      <c r="C25" s="410">
        <f>'DADOS-Diversos'!C62+'DADOS-Diversos'!C63</f>
        <v>0</v>
      </c>
      <c r="I25" s="16"/>
    </row>
    <row r="26" spans="2:16" s="2" customFormat="1" ht="3" customHeight="1" x14ac:dyDescent="0.2"/>
    <row r="27" spans="2:16" s="2" customFormat="1" ht="12.75" x14ac:dyDescent="0.2">
      <c r="B27" s="3" t="s">
        <v>608</v>
      </c>
      <c r="C27" s="176">
        <f>IFERROR('CT (CTR)'!AI30/'CT (CTR)'!AH30,)</f>
        <v>1.1025458397166543</v>
      </c>
      <c r="D27" s="2" t="str">
        <f>IF(C27&gt;1,"&gt;1","ERRO")</f>
        <v>&gt;1</v>
      </c>
    </row>
    <row r="28" spans="2:16" s="2" customFormat="1" ht="12.75" x14ac:dyDescent="0.2">
      <c r="B28" s="3" t="s">
        <v>609</v>
      </c>
      <c r="C28" s="176">
        <f>IFERROR('CT (CTR)'!AI31/'CT (CTR)'!AH31,)</f>
        <v>1.5595949625297205</v>
      </c>
      <c r="D28" s="2" t="str">
        <f>IF(C28&gt;1,"&gt;1","ERRO")</f>
        <v>&gt;1</v>
      </c>
    </row>
    <row r="29" spans="2:16" s="2" customFormat="1" ht="12.75" x14ac:dyDescent="0.2"/>
    <row r="30" spans="2:16" s="2" customFormat="1" ht="3" customHeight="1" x14ac:dyDescent="0.2"/>
    <row r="31" spans="2:16" s="2" customFormat="1" ht="15.75" customHeight="1" thickBot="1" x14ac:dyDescent="0.25">
      <c r="B31" s="1" t="s">
        <v>614</v>
      </c>
      <c r="I31" s="838" t="s">
        <v>3255</v>
      </c>
      <c r="J31" s="839"/>
      <c r="K31" s="839"/>
      <c r="L31" s="839"/>
      <c r="M31" s="839"/>
      <c r="N31" s="840"/>
      <c r="O31" s="411"/>
    </row>
    <row r="32" spans="2:16" s="2" customFormat="1" ht="12.75" x14ac:dyDescent="0.2">
      <c r="B32" s="1"/>
      <c r="I32" s="154" t="s">
        <v>58</v>
      </c>
      <c r="J32" s="154" t="s">
        <v>681</v>
      </c>
      <c r="K32" s="154" t="s">
        <v>339</v>
      </c>
      <c r="L32" s="154" t="s">
        <v>340</v>
      </c>
      <c r="M32" s="190" t="s">
        <v>175</v>
      </c>
      <c r="N32" s="154" t="s">
        <v>684</v>
      </c>
      <c r="O32" s="411"/>
    </row>
    <row r="33" spans="1:15" s="2" customFormat="1" ht="12.75" x14ac:dyDescent="0.2">
      <c r="B33" s="154" t="s">
        <v>337</v>
      </c>
      <c r="C33" s="154"/>
      <c r="D33" s="154"/>
      <c r="E33" s="154"/>
      <c r="F33" s="154"/>
      <c r="G33" s="190"/>
      <c r="H33" s="76"/>
      <c r="I33" s="424" t="s">
        <v>7</v>
      </c>
      <c r="J33" s="424" t="s">
        <v>685</v>
      </c>
      <c r="K33" s="537"/>
      <c r="L33" s="537"/>
      <c r="M33" s="406"/>
      <c r="N33" s="537"/>
      <c r="O33" s="411" t="s">
        <v>3484</v>
      </c>
    </row>
    <row r="34" spans="1:15" s="2" customFormat="1" ht="12.75" x14ac:dyDescent="0.2">
      <c r="B34" s="154"/>
      <c r="C34" s="154" t="s">
        <v>517</v>
      </c>
      <c r="D34" s="154" t="s">
        <v>512</v>
      </c>
      <c r="E34" s="154" t="s">
        <v>606</v>
      </c>
      <c r="F34" s="154" t="s">
        <v>615</v>
      </c>
      <c r="G34" s="154" t="s">
        <v>3485</v>
      </c>
      <c r="I34" s="424" t="s">
        <v>8</v>
      </c>
      <c r="J34" s="424" t="s">
        <v>685</v>
      </c>
      <c r="K34" s="537"/>
      <c r="L34" s="537"/>
      <c r="M34" s="412"/>
      <c r="N34" s="537"/>
      <c r="O34" s="411" t="s">
        <v>3484</v>
      </c>
    </row>
    <row r="35" spans="1:15" s="2" customFormat="1" ht="12.75" x14ac:dyDescent="0.2">
      <c r="B35" s="424" t="s">
        <v>156</v>
      </c>
      <c r="C35" s="75">
        <f>IFERROR(C44/D44,)</f>
        <v>0</v>
      </c>
      <c r="D35" s="75">
        <f>IFERROR(E44/F44,)</f>
        <v>0</v>
      </c>
      <c r="E35" s="75">
        <f>IFERROR(G44/H44,)</f>
        <v>0</v>
      </c>
      <c r="F35" s="189">
        <f>G7</f>
        <v>0</v>
      </c>
      <c r="G35" s="612">
        <f>ROUND(F35-E35,3)</f>
        <v>0</v>
      </c>
      <c r="I35" s="424" t="s">
        <v>7</v>
      </c>
      <c r="J35" s="424" t="s">
        <v>686</v>
      </c>
      <c r="K35" s="413">
        <f>TR_FIOB_A2_P</f>
        <v>0</v>
      </c>
      <c r="L35" s="414">
        <f>TR_FIOB_A2_FP</f>
        <v>0</v>
      </c>
      <c r="M35" s="415"/>
      <c r="N35" s="537"/>
      <c r="O35" s="411" t="s">
        <v>687</v>
      </c>
    </row>
    <row r="36" spans="1:15" s="2" customFormat="1" ht="12.75" x14ac:dyDescent="0.2">
      <c r="B36" s="424" t="s">
        <v>157</v>
      </c>
      <c r="C36" s="75">
        <f>IFERROR(C45/D45,)</f>
        <v>0</v>
      </c>
      <c r="D36" s="75">
        <f>IFERROR(E45/F45,)</f>
        <v>0</v>
      </c>
      <c r="E36" s="75">
        <f>IFERROR(G45/H45,)</f>
        <v>0</v>
      </c>
      <c r="F36" s="189">
        <f>G8</f>
        <v>0</v>
      </c>
      <c r="G36" s="612">
        <f>ROUND(F36-E36,3)</f>
        <v>0</v>
      </c>
      <c r="I36" s="424" t="s">
        <v>8</v>
      </c>
      <c r="J36" s="424" t="s">
        <v>686</v>
      </c>
      <c r="K36" s="413">
        <f>TR_FIOB_A3_P</f>
        <v>0</v>
      </c>
      <c r="L36" s="414">
        <f>TR_FIOB_A3_FP</f>
        <v>0</v>
      </c>
      <c r="M36" s="415"/>
      <c r="N36" s="537"/>
      <c r="O36" s="411" t="s">
        <v>687</v>
      </c>
    </row>
    <row r="37" spans="1:15" s="2" customFormat="1" ht="12.75" x14ac:dyDescent="0.2">
      <c r="B37" s="424" t="s">
        <v>6</v>
      </c>
      <c r="C37" s="75">
        <f>IFERROR(C46/D46,)</f>
        <v>1.0866663129866074</v>
      </c>
      <c r="D37" s="75">
        <f>IFERROR(E46/F46,)</f>
        <v>6</v>
      </c>
      <c r="E37" s="75">
        <f>IFERROR(G46/H46,)</f>
        <v>2.1990315093576176</v>
      </c>
      <c r="F37" s="189">
        <f>G9</f>
        <v>1.9582919563058587</v>
      </c>
      <c r="G37" s="612">
        <f>ROUND(F37-E37,3)</f>
        <v>-0.24099999999999999</v>
      </c>
      <c r="I37" s="424" t="s">
        <v>8</v>
      </c>
      <c r="J37" s="424" t="s">
        <v>506</v>
      </c>
      <c r="K37" s="416">
        <f>IF(EV_AT2_AT3+EV_AT3_AT3&lt;&gt;0,((EV_AT2_AT3+EV_AT3_AT3*K_D3_D)/EV_AT3*TR_FIOB_A3_P),0)</f>
        <v>0</v>
      </c>
      <c r="L37" s="416">
        <f>IF(EV_AT2_AT3+EV_AT3_AT3&lt;&gt;0,((EV_AT2_AT3+EV_AT3_AT3*K_D3_D)/EV_AT3*TR_FIOB_A3_FP),0)</f>
        <v>0</v>
      </c>
      <c r="M37" s="412"/>
      <c r="N37" s="537"/>
      <c r="O37" s="411" t="s">
        <v>688</v>
      </c>
    </row>
    <row r="38" spans="1:15" s="2" customFormat="1" ht="12.75" x14ac:dyDescent="0.2">
      <c r="B38" s="424" t="s">
        <v>19</v>
      </c>
      <c r="C38" s="75">
        <f>IFERROR(C47/D47,)</f>
        <v>0</v>
      </c>
      <c r="D38" s="75">
        <f>IFERROR(E47/F47,)</f>
        <v>0</v>
      </c>
      <c r="E38" s="75">
        <f>IFERROR(G47/H47,)</f>
        <v>0</v>
      </c>
      <c r="F38" s="189">
        <f>G10</f>
        <v>0</v>
      </c>
      <c r="G38" s="612">
        <f>ROUND(F38-E38,3)</f>
        <v>0</v>
      </c>
      <c r="I38" s="424" t="s">
        <v>6</v>
      </c>
      <c r="J38" s="424" t="s">
        <v>505</v>
      </c>
      <c r="K38" s="417">
        <f>IF(EV_AT2_MT+EV_AT3_MT+EV_MT_MT&lt;&gt;0,(EV_AT2_MT+EV_AT3_MT+EV_MT_MT*K_D4_D)/EV_MT*TR_FIOB_MT_P,0)</f>
        <v>10.792480430584398</v>
      </c>
      <c r="L38" s="417">
        <f>IF(EV_AT2_MT+EV_AT3_MT+EV_MT_MT&lt;&gt;0,(EV_AT2_MT+EV_AT3_MT+EV_MT_MT*K_D4_D)/EV_MT*TR_FIOB_MT_FP,0)</f>
        <v>1.798746738430733</v>
      </c>
      <c r="M38" s="418"/>
      <c r="N38" s="537"/>
      <c r="O38" s="411" t="s">
        <v>688</v>
      </c>
    </row>
    <row r="39" spans="1:15" s="2" customFormat="1" ht="12.75" x14ac:dyDescent="0.2">
      <c r="A39" s="1"/>
      <c r="B39" s="424" t="s">
        <v>160</v>
      </c>
      <c r="C39" s="75">
        <f>IFERROR(C48/D48,)</f>
        <v>1.3081668931360317</v>
      </c>
      <c r="D39" s="75">
        <f>IFERROR(E48/F48,)</f>
        <v>10</v>
      </c>
      <c r="E39" s="75">
        <f>IFERROR(G48/H48,)</f>
        <v>3.0978005780064231</v>
      </c>
      <c r="F39" s="189">
        <f>G11</f>
        <v>5</v>
      </c>
      <c r="G39" s="612">
        <f>ROUND(F39-E39,3)</f>
        <v>1.9019999999999999</v>
      </c>
      <c r="I39" s="424" t="s">
        <v>20</v>
      </c>
      <c r="J39" s="425" t="s">
        <v>504</v>
      </c>
      <c r="K39" s="419"/>
      <c r="L39" s="420"/>
      <c r="M39" s="426">
        <f>IF(EV_BT&lt;&gt;0,(EV_AT2_BT+EV_AT3_BT+EV_MT_BT+EV_BT_BT*K_D5_D)/EV_BT*TR_FIOB_BT_MWh,"")</f>
        <v>67.386364830226995</v>
      </c>
      <c r="N39" s="537"/>
      <c r="O39" s="411" t="s">
        <v>688</v>
      </c>
    </row>
    <row r="40" spans="1:15" s="2" customFormat="1" ht="15" customHeight="1" x14ac:dyDescent="0.2"/>
    <row r="41" spans="1:15" s="2" customFormat="1" ht="12.75" x14ac:dyDescent="0.2">
      <c r="B41" s="365" t="s">
        <v>600</v>
      </c>
      <c r="C41" s="844" t="s">
        <v>517</v>
      </c>
      <c r="D41" s="845"/>
      <c r="E41" s="844" t="s">
        <v>512</v>
      </c>
      <c r="F41" s="845"/>
      <c r="G41" s="844" t="s">
        <v>606</v>
      </c>
      <c r="H41" s="845"/>
      <c r="J41" s="836" t="s">
        <v>3256</v>
      </c>
      <c r="K41" s="837"/>
      <c r="L41" s="837"/>
      <c r="M41" s="837"/>
      <c r="N41" s="837"/>
    </row>
    <row r="42" spans="1:15" s="2" customFormat="1" ht="12.75" x14ac:dyDescent="0.2">
      <c r="B42" s="24"/>
      <c r="C42" s="24" t="s">
        <v>339</v>
      </c>
      <c r="D42" s="24" t="s">
        <v>340</v>
      </c>
      <c r="E42" s="24" t="s">
        <v>339</v>
      </c>
      <c r="F42" s="24" t="s">
        <v>340</v>
      </c>
      <c r="G42" s="24" t="s">
        <v>339</v>
      </c>
      <c r="H42" s="24" t="s">
        <v>340</v>
      </c>
      <c r="J42" s="154"/>
      <c r="K42" s="154" t="s">
        <v>512</v>
      </c>
      <c r="L42" s="154" t="s">
        <v>3257</v>
      </c>
      <c r="M42" s="154" t="s">
        <v>693</v>
      </c>
      <c r="N42" s="154" t="s">
        <v>692</v>
      </c>
    </row>
    <row r="43" spans="1:15" s="2" customFormat="1" ht="12.75" x14ac:dyDescent="0.2">
      <c r="B43" s="24"/>
      <c r="C43" s="399" t="s">
        <v>502</v>
      </c>
      <c r="D43" s="399" t="s">
        <v>502</v>
      </c>
      <c r="E43" s="399" t="s">
        <v>502</v>
      </c>
      <c r="F43" s="399" t="s">
        <v>502</v>
      </c>
      <c r="G43" s="399" t="s">
        <v>502</v>
      </c>
      <c r="H43" s="399" t="s">
        <v>502</v>
      </c>
      <c r="J43" s="265" t="s">
        <v>6</v>
      </c>
      <c r="K43" s="421">
        <f>IFERROR(EV_MT_MT*v_G_MT/EV_MT*(Aux_Fatores!I4*TR_FIOB_MT_P+Aux_Fatores!I5*TR_FIOB_MT_FP),)</f>
        <v>5.2388629731876266</v>
      </c>
      <c r="L43" s="421">
        <f>IFERROR(FPE_MT*PMIX_ENERGIA_MWh/100*(1-teta_k_MT)*Aux_Fatores!G13/('DADOS-Mercado'!D42+'DADOS-Mercado'!D43),)</f>
        <v>2.6946250003555259E-3</v>
      </c>
      <c r="M43" s="421">
        <f>K43*A_TFSEE</f>
        <v>2.0955451892750505E-2</v>
      </c>
      <c r="N43" s="421">
        <f>SUM(K43:M43)*A_PeD</f>
        <v>5.2625130500807325E-2</v>
      </c>
    </row>
    <row r="44" spans="1:15" s="2" customFormat="1" ht="12.75" x14ac:dyDescent="0.2">
      <c r="B44" s="424" t="s">
        <v>156</v>
      </c>
      <c r="C44" s="422">
        <f>TR_FIOA_A2_P</f>
        <v>0</v>
      </c>
      <c r="D44" s="423">
        <f>TR_FIOA_A2_FP</f>
        <v>0</v>
      </c>
      <c r="E44" s="422">
        <f>TR_FIOB_A2_P</f>
        <v>0</v>
      </c>
      <c r="F44" s="422">
        <f>TR_FIOB_A2_FP</f>
        <v>0</v>
      </c>
      <c r="G44" s="422">
        <f>TR_FIOA_A2_P+TR_FIOB_A2_P</f>
        <v>0</v>
      </c>
      <c r="H44" s="422">
        <f>TR_FIOA_A2_FP+TR_FIOB_A2_FP</f>
        <v>0</v>
      </c>
      <c r="J44" s="265" t="s">
        <v>694</v>
      </c>
      <c r="K44" s="421">
        <f>IFERROR(EV_BT_BT*v_G_BT_1/EV_BT*(Aux_Fatores!I4*TR_FIOB_BT_P+Aux_Fatores!I5*TR_FIOB_BT_FP),)</f>
        <v>3.5500115953694564</v>
      </c>
      <c r="L44" s="421">
        <f>IFERROR(FPE_BT*PMIX_ENERGIA_MWh/100*(1-teta_K_BT)*Aux_Fatores!G14/'DADOS-Mercado'!D51,)</f>
        <v>0</v>
      </c>
      <c r="M44" s="421">
        <f>K44*A_TFSEE</f>
        <v>1.4200046381477826E-2</v>
      </c>
      <c r="N44" s="421">
        <f>SUM(K44:M44)*A_PeD</f>
        <v>3.5642116417509348E-2</v>
      </c>
    </row>
    <row r="45" spans="1:15" s="2" customFormat="1" ht="12.75" x14ac:dyDescent="0.2">
      <c r="B45" s="424" t="s">
        <v>157</v>
      </c>
      <c r="C45" s="422">
        <f>TR_FIOA_A3_P</f>
        <v>0</v>
      </c>
      <c r="D45" s="423">
        <f>TR_FIOA_A3_FP</f>
        <v>0</v>
      </c>
      <c r="E45" s="422">
        <f>TR_FIOB_A3_P</f>
        <v>0</v>
      </c>
      <c r="F45" s="422">
        <f>TR_FIOB_A3_FP</f>
        <v>0</v>
      </c>
      <c r="G45" s="422">
        <f>TR_FIOA_A3_P+TR_FIOB_A3_P</f>
        <v>0</v>
      </c>
      <c r="H45" s="422">
        <f>TR_FIOA_A3_FP+TR_FIOB_A3_FP</f>
        <v>0</v>
      </c>
      <c r="J45" s="265" t="s">
        <v>695</v>
      </c>
      <c r="K45" s="421">
        <f>IFERROR((EV_BT_BT+EV_MT_BT*v_G_BT_2)/EV_BT*(Aux_Fatores!I4*TR_FIOB_BT_P+Aux_Fatores!I5*TR_FIOB_BT_FP),)</f>
        <v>6.9967691386724695</v>
      </c>
      <c r="L45" s="421">
        <f>IFERROR(FPE_BT*PMIX_ENERGIA_MWh/100*(1-teta_K_BT)*Aux_Fatores!G14/'DADOS-Mercado'!D51,)</f>
        <v>0</v>
      </c>
      <c r="M45" s="421">
        <f>K45*A_TFSEE</f>
        <v>2.7987076554689877E-2</v>
      </c>
      <c r="N45" s="421">
        <f>SUM(K45:M45)*A_PeD</f>
        <v>7.0247562152271598E-2</v>
      </c>
    </row>
    <row r="46" spans="1:15" s="2" customFormat="1" ht="12.75" x14ac:dyDescent="0.2">
      <c r="B46" s="424" t="s">
        <v>6</v>
      </c>
      <c r="C46" s="422">
        <f>TR_FIOA_MT_P</f>
        <v>19.64752203104004</v>
      </c>
      <c r="D46" s="423">
        <f>TR_FIOA_MT_FP</f>
        <v>18.080547631075948</v>
      </c>
      <c r="E46" s="422">
        <f>TR_FIOB_MT_P</f>
        <v>31.747969443553274</v>
      </c>
      <c r="F46" s="422">
        <f>TR_FIOB_MT_FP</f>
        <v>5.291328240592212</v>
      </c>
      <c r="G46" s="422">
        <f>TR_FIOA_MT_P+TR_FIOB_MT_P</f>
        <v>51.395491474593314</v>
      </c>
      <c r="H46" s="422">
        <f>TR_FIOA_MT_FP+TR_FIOB_MT_FP</f>
        <v>23.371875871668159</v>
      </c>
    </row>
    <row r="47" spans="1:15" s="2" customFormat="1" ht="12.75" x14ac:dyDescent="0.2">
      <c r="B47" s="424" t="s">
        <v>19</v>
      </c>
      <c r="C47" s="422">
        <f>IF(E10&lt;&gt;0,TR_FIOA_BT_P,0)</f>
        <v>0</v>
      </c>
      <c r="D47" s="423">
        <f>IF(F10&lt;&gt;0,TR_FIOA_BT_FP,0)</f>
        <v>0</v>
      </c>
      <c r="E47" s="422">
        <f>TR_FIOB_AS_P</f>
        <v>0</v>
      </c>
      <c r="F47" s="422">
        <f>TR_FIOB_AS_FP</f>
        <v>0</v>
      </c>
      <c r="G47" s="422">
        <f>IF(E10&lt;&gt;0,TR_FIOA_BT_P,0)+TR_FIOB_AS_P</f>
        <v>0</v>
      </c>
      <c r="H47" s="422">
        <f>IF(F10&lt;&gt;0,TR_FIOA_BT_FP,0)+TR_FIOB_AS_FP</f>
        <v>0</v>
      </c>
    </row>
    <row r="48" spans="1:15" s="2" customFormat="1" ht="12.75" x14ac:dyDescent="0.2">
      <c r="B48" s="424" t="s">
        <v>160</v>
      </c>
      <c r="C48" s="422">
        <f>TR_FIOA_BT_P</f>
        <v>21.51120377477406</v>
      </c>
      <c r="D48" s="423">
        <f>TR_FIOA_BT_FP</f>
        <v>16.443776316037059</v>
      </c>
      <c r="E48" s="422">
        <f>TR_FIOB_BT_P</f>
        <v>42.63617175111122</v>
      </c>
      <c r="F48" s="422">
        <f>TR_FIOB_BT_FP</f>
        <v>4.263617175111122</v>
      </c>
      <c r="G48" s="422">
        <f>TR_FIOA_BT_P+TR_FIOB_BT_P</f>
        <v>64.14737552588528</v>
      </c>
      <c r="H48" s="422">
        <f>TR_FIOA_BT_FP+TR_FIOB_BT_FP</f>
        <v>20.707393491148181</v>
      </c>
    </row>
    <row r="49" s="2" customFormat="1" ht="12.75" x14ac:dyDescent="0.2"/>
    <row r="50" s="2" customFormat="1" ht="12.75" x14ac:dyDescent="0.2"/>
    <row r="51" s="2" customFormat="1" ht="12.75" x14ac:dyDescent="0.2"/>
  </sheetData>
  <mergeCells count="11">
    <mergeCell ref="B4:B6"/>
    <mergeCell ref="J41:N41"/>
    <mergeCell ref="I31:N31"/>
    <mergeCell ref="C4:D4"/>
    <mergeCell ref="E4:F4"/>
    <mergeCell ref="C10:C11"/>
    <mergeCell ref="D10:D11"/>
    <mergeCell ref="B15:B16"/>
    <mergeCell ref="C41:D41"/>
    <mergeCell ref="E41:F41"/>
    <mergeCell ref="G41:H41"/>
  </mergeCells>
  <conditionalFormatting sqref="K21">
    <cfRule type="cellIs" dxfId="58" priority="37" operator="equal">
      <formula>100%</formula>
    </cfRule>
  </conditionalFormatting>
  <conditionalFormatting sqref="K22">
    <cfRule type="containsText" dxfId="57" priority="35" operator="containsText" text="OK">
      <formula>NOT(ISERROR(SEARCH("OK",K22)))</formula>
    </cfRule>
    <cfRule type="containsText" dxfId="56" priority="36" operator="containsText" text="ERRO">
      <formula>NOT(ISERROR(SEARCH("ERRO",K22)))</formula>
    </cfRule>
  </conditionalFormatting>
  <conditionalFormatting sqref="P11">
    <cfRule type="containsText" dxfId="55" priority="22" operator="containsText" text="OK">
      <formula>NOT(ISERROR(SEARCH("OK",P11)))</formula>
    </cfRule>
    <cfRule type="containsText" dxfId="54" priority="23" operator="containsText" text="ERRO">
      <formula>NOT(ISERROR(SEARCH("ERRO",P11)))</formula>
    </cfRule>
  </conditionalFormatting>
  <conditionalFormatting sqref="P7">
    <cfRule type="containsText" dxfId="53" priority="30" operator="containsText" text="OK">
      <formula>NOT(ISERROR(SEARCH("OK",P7)))</formula>
    </cfRule>
    <cfRule type="containsText" dxfId="52" priority="31" operator="containsText" text="ERRO">
      <formula>NOT(ISERROR(SEARCH("ERRO",P7)))</formula>
    </cfRule>
  </conditionalFormatting>
  <conditionalFormatting sqref="P8">
    <cfRule type="containsText" dxfId="51" priority="28" operator="containsText" text="OK">
      <formula>NOT(ISERROR(SEARCH("OK",P8)))</formula>
    </cfRule>
    <cfRule type="containsText" dxfId="50" priority="29" operator="containsText" text="ERRO">
      <formula>NOT(ISERROR(SEARCH("ERRO",P8)))</formula>
    </cfRule>
  </conditionalFormatting>
  <conditionalFormatting sqref="P9">
    <cfRule type="containsText" dxfId="49" priority="26" operator="containsText" text="OK">
      <formula>NOT(ISERROR(SEARCH("OK",P9)))</formula>
    </cfRule>
    <cfRule type="containsText" dxfId="48" priority="27" operator="containsText" text="ERRO">
      <formula>NOT(ISERROR(SEARCH("ERRO",P9)))</formula>
    </cfRule>
  </conditionalFormatting>
  <conditionalFormatting sqref="P10">
    <cfRule type="containsText" dxfId="47" priority="24" operator="containsText" text="OK">
      <formula>NOT(ISERROR(SEARCH("OK",P10)))</formula>
    </cfRule>
    <cfRule type="containsText" dxfId="46" priority="25" operator="containsText" text="ERRO">
      <formula>NOT(ISERROR(SEARCH("ERRO",P10)))</formula>
    </cfRule>
  </conditionalFormatting>
  <conditionalFormatting sqref="D27:D28">
    <cfRule type="cellIs" dxfId="45" priority="20" operator="equal">
      <formula>"&gt;1"</formula>
    </cfRule>
    <cfRule type="cellIs" dxfId="44" priority="21" operator="equal">
      <formula>"ERRO"</formula>
    </cfRule>
  </conditionalFormatting>
  <conditionalFormatting sqref="P22">
    <cfRule type="containsText" dxfId="43" priority="18" operator="containsText" text="OK">
      <formula>NOT(ISERROR(SEARCH("OK",P22)))</formula>
    </cfRule>
    <cfRule type="containsText" dxfId="42" priority="19" operator="containsText" text="ERRO">
      <formula>NOT(ISERROR(SEARCH("ERRO",P22)))</formula>
    </cfRule>
  </conditionalFormatting>
  <conditionalFormatting sqref="J17:J20">
    <cfRule type="containsText" dxfId="41" priority="16" operator="containsText" text="OK">
      <formula>NOT(ISERROR(SEARCH("OK",J17)))</formula>
    </cfRule>
    <cfRule type="containsText" dxfId="40" priority="17" operator="containsText" text="ERRO">
      <formula>NOT(ISERROR(SEARCH("ERRO",J17)))</formula>
    </cfRule>
  </conditionalFormatting>
  <conditionalFormatting sqref="F21">
    <cfRule type="cellIs" dxfId="39" priority="15" operator="equal">
      <formula>100%</formula>
    </cfRule>
  </conditionalFormatting>
  <conditionalFormatting sqref="F22">
    <cfRule type="containsText" dxfId="38" priority="13" operator="containsText" text="OK">
      <formula>NOT(ISERROR(SEARCH("OK",F22)))</formula>
    </cfRule>
    <cfRule type="containsText" dxfId="37" priority="14" operator="containsText" text="ERRO">
      <formula>NOT(ISERROR(SEARCH("ERRO",F22)))</formula>
    </cfRule>
  </conditionalFormatting>
  <conditionalFormatting sqref="L22:M22">
    <cfRule type="containsText" dxfId="36" priority="11" operator="containsText" text="OK">
      <formula>NOT(ISERROR(SEARCH("OK",L22)))</formula>
    </cfRule>
    <cfRule type="containsText" dxfId="35" priority="12" operator="containsText" text="ERRO">
      <formula>NOT(ISERROR(SEARCH("ERRO",L22)))</formula>
    </cfRule>
  </conditionalFormatting>
  <conditionalFormatting sqref="N17">
    <cfRule type="containsText" dxfId="34" priority="9" operator="containsText" text="OK">
      <formula>NOT(ISERROR(SEARCH("OK",N17)))</formula>
    </cfRule>
    <cfRule type="containsText" dxfId="33" priority="10" operator="containsText" text="ERRO">
      <formula>NOT(ISERROR(SEARCH("ERRO",N17)))</formula>
    </cfRule>
  </conditionalFormatting>
  <conditionalFormatting sqref="N18">
    <cfRule type="containsText" dxfId="32" priority="7" operator="containsText" text="OK">
      <formula>NOT(ISERROR(SEARCH("OK",N18)))</formula>
    </cfRule>
    <cfRule type="containsText" dxfId="31" priority="8" operator="containsText" text="ERRO">
      <formula>NOT(ISERROR(SEARCH("ERRO",N18)))</formula>
    </cfRule>
  </conditionalFormatting>
  <conditionalFormatting sqref="N19">
    <cfRule type="containsText" dxfId="30" priority="5" operator="containsText" text="OK">
      <formula>NOT(ISERROR(SEARCH("OK",N19)))</formula>
    </cfRule>
    <cfRule type="containsText" dxfId="29" priority="6" operator="containsText" text="ERRO">
      <formula>NOT(ISERROR(SEARCH("ERRO",N19)))</formula>
    </cfRule>
  </conditionalFormatting>
  <conditionalFormatting sqref="N20">
    <cfRule type="containsText" dxfId="28" priority="3" operator="containsText" text="OK">
      <formula>NOT(ISERROR(SEARCH("OK",N20)))</formula>
    </cfRule>
    <cfRule type="containsText" dxfId="27" priority="4" operator="containsText" text="ERRO">
      <formula>NOT(ISERROR(SEARCH("ERRO",N20)))</formula>
    </cfRule>
  </conditionalFormatting>
  <conditionalFormatting sqref="N21">
    <cfRule type="containsText" dxfId="26" priority="1" operator="containsText" text="OK">
      <formula>NOT(ISERROR(SEARCH("OK",N21)))</formula>
    </cfRule>
    <cfRule type="containsText" dxfId="25" priority="2" operator="containsText" text="ERRO">
      <formula>NOT(ISERROR(SEARCH("ERRO",N21)))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8"/>
  <dimension ref="A2:CA115"/>
  <sheetViews>
    <sheetView showGridLines="0" workbookViewId="0">
      <selection activeCell="B15" sqref="B15"/>
    </sheetView>
  </sheetViews>
  <sheetFormatPr defaultColWidth="9.140625" defaultRowHeight="12.75" x14ac:dyDescent="0.2"/>
  <cols>
    <col min="1" max="1" width="12" style="136" customWidth="1"/>
    <col min="2" max="2" width="15" style="2" customWidth="1"/>
    <col min="3" max="3" width="8.42578125" style="2" bestFit="1" customWidth="1"/>
    <col min="4" max="4" width="18.7109375" style="136" bestFit="1" customWidth="1"/>
    <col min="5" max="5" width="14.140625" style="2" bestFit="1" customWidth="1"/>
    <col min="6" max="75" width="10.7109375" style="2" customWidth="1"/>
    <col min="76" max="16384" width="9.140625" style="2"/>
  </cols>
  <sheetData>
    <row r="2" spans="1:75" hidden="1" x14ac:dyDescent="0.2"/>
    <row r="3" spans="1:75" hidden="1" x14ac:dyDescent="0.2">
      <c r="D3" s="562">
        <v>4.1666666666666664E-2</v>
      </c>
    </row>
    <row r="4" spans="1:75" hidden="1" x14ac:dyDescent="0.2"/>
    <row r="5" spans="1:75" hidden="1" x14ac:dyDescent="0.2">
      <c r="F5" s="136"/>
      <c r="G5" s="136"/>
      <c r="N5" s="76"/>
    </row>
    <row r="7" spans="1:75" x14ac:dyDescent="0.2">
      <c r="B7" s="428" t="s">
        <v>707</v>
      </c>
      <c r="C7" s="563">
        <f>ROUND(SUMPRODUCT(E43:AC43,E44:AC44),2)</f>
        <v>0.54</v>
      </c>
    </row>
    <row r="8" spans="1:75" x14ac:dyDescent="0.2">
      <c r="B8" s="428" t="s">
        <v>708</v>
      </c>
      <c r="C8" s="563">
        <f>ROUND(SUMPRODUCT(E79:AC79,E80:AC80),2)</f>
        <v>0.55000000000000004</v>
      </c>
    </row>
    <row r="9" spans="1:75" x14ac:dyDescent="0.2">
      <c r="B9" s="428" t="s">
        <v>709</v>
      </c>
      <c r="C9" s="563">
        <f>ROUND(SUMPRODUCT(E114:CA114,E115:CA115),2)</f>
        <v>0.69</v>
      </c>
    </row>
    <row r="11" spans="1:75" ht="13.5" thickBot="1" x14ac:dyDescent="0.25">
      <c r="C11" s="846" t="s">
        <v>346</v>
      </c>
      <c r="D11" s="847"/>
      <c r="E11" s="564" t="s">
        <v>698</v>
      </c>
      <c r="F11" s="565"/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5"/>
      <c r="U11" s="565"/>
      <c r="V11" s="565"/>
      <c r="W11" s="565"/>
      <c r="X11" s="565"/>
      <c r="Y11" s="565"/>
      <c r="Z11" s="565"/>
      <c r="AA11" s="565"/>
      <c r="AB11" s="565"/>
      <c r="AC11" s="565"/>
      <c r="AD11" s="565"/>
      <c r="AE11" s="565"/>
      <c r="AF11" s="565"/>
      <c r="AG11" s="565"/>
      <c r="AH11" s="565"/>
      <c r="AI11" s="565"/>
      <c r="AJ11" s="565"/>
      <c r="AK11" s="565"/>
      <c r="AL11" s="565"/>
      <c r="AM11" s="565"/>
      <c r="AN11" s="565"/>
      <c r="AO11" s="565"/>
      <c r="AP11" s="565"/>
      <c r="AQ11" s="565"/>
      <c r="AR11" s="565"/>
      <c r="AS11" s="565"/>
      <c r="AT11" s="565"/>
      <c r="AU11" s="565"/>
      <c r="AV11" s="565"/>
      <c r="AW11" s="565"/>
      <c r="AX11" s="565"/>
      <c r="AY11" s="565"/>
      <c r="AZ11" s="565"/>
      <c r="BA11" s="565"/>
      <c r="BB11" s="565"/>
      <c r="BC11" s="565"/>
      <c r="BD11" s="565"/>
      <c r="BE11" s="565"/>
      <c r="BF11" s="565"/>
      <c r="BG11" s="565"/>
      <c r="BH11" s="565"/>
      <c r="BI11" s="565"/>
      <c r="BJ11" s="565"/>
      <c r="BK11" s="565"/>
      <c r="BL11" s="565"/>
      <c r="BM11" s="565"/>
      <c r="BN11" s="565"/>
      <c r="BO11" s="565"/>
      <c r="BP11" s="565"/>
      <c r="BQ11" s="565"/>
      <c r="BR11" s="565"/>
      <c r="BS11" s="565"/>
      <c r="BT11" s="565"/>
      <c r="BU11" s="565"/>
      <c r="BV11" s="565"/>
      <c r="BW11" s="565"/>
    </row>
    <row r="12" spans="1:75" s="136" customFormat="1" ht="19.5" thickBot="1" x14ac:dyDescent="0.35">
      <c r="A12" s="690" t="s">
        <v>3588</v>
      </c>
      <c r="C12" s="566" t="s">
        <v>699</v>
      </c>
      <c r="D12" s="567" t="s">
        <v>700</v>
      </c>
      <c r="E12" s="568" t="str">
        <f>'CT (CTR)'!G174</f>
        <v>CT-019</v>
      </c>
      <c r="F12" s="568" t="str">
        <f>'CT (CTR)'!H174</f>
        <v>CT-020</v>
      </c>
      <c r="G12" s="568" t="str">
        <f>'CT (CTR)'!I174</f>
        <v>CT-021</v>
      </c>
      <c r="H12" s="568" t="str">
        <f>'CT (CTR)'!J174</f>
        <v>CT-022</v>
      </c>
      <c r="I12" s="568" t="str">
        <f>'CT (CTR)'!K174</f>
        <v>CT-023</v>
      </c>
      <c r="J12" s="568" t="str">
        <f>'CT (CTR)'!L174</f>
        <v>CT-024</v>
      </c>
      <c r="K12" s="568" t="str">
        <f>'CT (CTR)'!M174</f>
        <v>CT-025</v>
      </c>
      <c r="L12" s="568" t="str">
        <f>'CT (CTR)'!N174</f>
        <v>CT-026</v>
      </c>
      <c r="M12" s="568" t="str">
        <f>'CT (CTR)'!O174</f>
        <v>CT-027</v>
      </c>
      <c r="N12" s="568" t="str">
        <f>'CT (CTR)'!P174</f>
        <v>CT-028</v>
      </c>
      <c r="O12" s="568" t="str">
        <f>'CT (CTR)'!Q174</f>
        <v>CT-029</v>
      </c>
      <c r="P12" s="568" t="str">
        <f>'CT (CTR)'!R174</f>
        <v>CT-030</v>
      </c>
      <c r="Q12" s="568" t="str">
        <f>'CT (CTR)'!S174</f>
        <v>CT-031</v>
      </c>
      <c r="R12" s="568">
        <f>'CT (CTR)'!T174</f>
        <v>0</v>
      </c>
      <c r="S12" s="568">
        <f>'CT (CTR)'!U174</f>
        <v>0</v>
      </c>
      <c r="T12" s="568">
        <f>'CT (CTR)'!V174</f>
        <v>0</v>
      </c>
      <c r="U12" s="568">
        <f>'CT (CTR)'!W174</f>
        <v>0</v>
      </c>
      <c r="V12" s="568">
        <f>'CT (CTR)'!X174</f>
        <v>0</v>
      </c>
      <c r="W12" s="568">
        <f>'CT (CTR)'!Y174</f>
        <v>0</v>
      </c>
      <c r="X12" s="568">
        <f>'CT (CTR)'!Z174</f>
        <v>0</v>
      </c>
      <c r="Y12" s="568">
        <f>'CT (CTR)'!AA174</f>
        <v>0</v>
      </c>
      <c r="Z12" s="568">
        <f>'CT (CTR)'!AB174</f>
        <v>0</v>
      </c>
      <c r="AA12" s="568">
        <f>'CT (CTR)'!AC174</f>
        <v>0</v>
      </c>
      <c r="AB12" s="568">
        <f>'CT (CTR)'!AD174</f>
        <v>0</v>
      </c>
      <c r="AC12" s="568">
        <f>'CT (CTR)'!AE174</f>
        <v>0</v>
      </c>
      <c r="AD12" s="568">
        <f>'CT (CTR)'!AF174</f>
        <v>0</v>
      </c>
      <c r="AE12" s="568">
        <f>'CT (CTR)'!AG174</f>
        <v>0</v>
      </c>
      <c r="AF12" s="568">
        <f>'CT (CTR)'!AH174</f>
        <v>0</v>
      </c>
      <c r="AG12" s="568">
        <f>'CT (CTR)'!AI174</f>
        <v>0</v>
      </c>
      <c r="AH12" s="568">
        <f>'CT (CTR)'!AJ174</f>
        <v>0</v>
      </c>
      <c r="AI12" s="568">
        <f>'CT (CTR)'!AK174</f>
        <v>0</v>
      </c>
      <c r="AJ12" s="568">
        <f>'CT (CTR)'!AL174</f>
        <v>0</v>
      </c>
      <c r="AK12" s="568">
        <f>'CT (CTR)'!AM174</f>
        <v>0</v>
      </c>
      <c r="AL12" s="568">
        <f>'CT (CTR)'!AN174</f>
        <v>0</v>
      </c>
      <c r="AM12" s="568">
        <f>'CT (CTR)'!AO174</f>
        <v>0</v>
      </c>
      <c r="AN12" s="568">
        <f>'CT (CTR)'!AP174</f>
        <v>0</v>
      </c>
      <c r="AO12" s="568">
        <f>'CT (CTR)'!AQ174</f>
        <v>0</v>
      </c>
      <c r="AP12" s="568">
        <f>'CT (CTR)'!AR174</f>
        <v>0</v>
      </c>
      <c r="AQ12" s="568">
        <f>'CT (CTR)'!AS174</f>
        <v>0</v>
      </c>
      <c r="AR12" s="568">
        <f>'CT (CTR)'!AT174</f>
        <v>0</v>
      </c>
      <c r="AS12" s="568">
        <f>'CT (CTR)'!AU174</f>
        <v>0</v>
      </c>
      <c r="AT12" s="568">
        <f>'CT (CTR)'!AV174</f>
        <v>0</v>
      </c>
      <c r="AU12" s="568">
        <f>'CT (CTR)'!AW174</f>
        <v>0</v>
      </c>
      <c r="AV12" s="568">
        <f>'CT (CTR)'!AX174</f>
        <v>0</v>
      </c>
      <c r="AW12" s="568">
        <f>'CT (CTR)'!AY174</f>
        <v>0</v>
      </c>
      <c r="AX12" s="568">
        <f>'CT (CTR)'!AZ174</f>
        <v>0</v>
      </c>
      <c r="AY12" s="568">
        <f>'CT (CTR)'!BA174</f>
        <v>0</v>
      </c>
      <c r="AZ12" s="568">
        <f>'CT (CTR)'!BB174</f>
        <v>0</v>
      </c>
      <c r="BA12" s="568">
        <f>'CT (CTR)'!BC174</f>
        <v>0</v>
      </c>
      <c r="BB12" s="568">
        <f>'CT (CTR)'!BD174</f>
        <v>0</v>
      </c>
      <c r="BC12" s="568">
        <f>'CT (CTR)'!BE174</f>
        <v>0</v>
      </c>
      <c r="BD12" s="568">
        <f>'CT (CTR)'!BF174</f>
        <v>0</v>
      </c>
      <c r="BE12" s="568">
        <f>'CT (CTR)'!BG174</f>
        <v>0</v>
      </c>
      <c r="BF12" s="568">
        <f>'CT (CTR)'!BH174</f>
        <v>0</v>
      </c>
      <c r="BG12" s="568">
        <f>'CT (CTR)'!BI174</f>
        <v>0</v>
      </c>
      <c r="BH12" s="568">
        <f>'CT (CTR)'!BJ174</f>
        <v>0</v>
      </c>
      <c r="BI12" s="568">
        <f>'CT (CTR)'!BK174</f>
        <v>0</v>
      </c>
      <c r="BJ12" s="568">
        <f>'CT (CTR)'!BL174</f>
        <v>0</v>
      </c>
      <c r="BK12" s="568">
        <f>'CT (CTR)'!BM174</f>
        <v>0</v>
      </c>
      <c r="BL12" s="568">
        <f>'CT (CTR)'!BN174</f>
        <v>0</v>
      </c>
      <c r="BM12" s="568">
        <f>'CT (CTR)'!BO174</f>
        <v>0</v>
      </c>
      <c r="BN12" s="568">
        <f>'CT (CTR)'!BP174</f>
        <v>0</v>
      </c>
      <c r="BO12" s="568">
        <f>'CT (CTR)'!BQ174</f>
        <v>0</v>
      </c>
      <c r="BP12" s="568">
        <f>'CT (CTR)'!BR174</f>
        <v>0</v>
      </c>
      <c r="BQ12" s="568">
        <f>'CT (CTR)'!BS174</f>
        <v>0</v>
      </c>
      <c r="BR12" s="568">
        <f>'CT (CTR)'!BT174</f>
        <v>0</v>
      </c>
      <c r="BS12" s="568">
        <f>'CT (CTR)'!BU174</f>
        <v>0</v>
      </c>
      <c r="BT12" s="568">
        <f>'CT (CTR)'!BV174</f>
        <v>0</v>
      </c>
      <c r="BU12" s="568">
        <f>'CT (CTR)'!BW174</f>
        <v>0</v>
      </c>
      <c r="BV12" s="568">
        <f>'CT (CTR)'!BX174</f>
        <v>0</v>
      </c>
      <c r="BW12" s="568">
        <f>'CT (CTR)'!BY174</f>
        <v>0</v>
      </c>
    </row>
    <row r="13" spans="1:75" x14ac:dyDescent="0.2">
      <c r="A13" s="683" t="s">
        <v>549</v>
      </c>
      <c r="B13" s="680">
        <f>TIME(HOUR('DADOS-Campanha'!J23),MINUTE('DADOS-Campanha'!J23),SECOND('DADOS-Campanha'!J23))</f>
        <v>0.75</v>
      </c>
      <c r="C13" s="566" t="s">
        <v>356</v>
      </c>
      <c r="D13" s="569">
        <v>1</v>
      </c>
      <c r="E13" s="570">
        <f>'CT (CTR)'!G176</f>
        <v>4.5966492526016198</v>
      </c>
      <c r="F13" s="570">
        <f>'CT (CTR)'!H176</f>
        <v>0.84561488247460803</v>
      </c>
      <c r="G13" s="570">
        <f>'CT (CTR)'!I176</f>
        <v>1.8992399080315601</v>
      </c>
      <c r="H13" s="570">
        <f>'CT (CTR)'!J176</f>
        <v>2.24945710977804</v>
      </c>
      <c r="I13" s="570">
        <f>'CT (CTR)'!K176</f>
        <v>3.3915090699952399</v>
      </c>
      <c r="J13" s="570">
        <f>'CT (CTR)'!L176</f>
        <v>0.56895751380075699</v>
      </c>
      <c r="K13" s="570">
        <f>'CT (CTR)'!M176</f>
        <v>0.88323511344848304</v>
      </c>
      <c r="L13" s="570">
        <f>'CT (CTR)'!N176</f>
        <v>0.45570898344641397</v>
      </c>
      <c r="M13" s="570">
        <f>'CT (CTR)'!O176</f>
        <v>0.32591272262933602</v>
      </c>
      <c r="N13" s="570">
        <f>'CT (CTR)'!P176</f>
        <v>0.32229290659061299</v>
      </c>
      <c r="O13" s="570">
        <f>'CT (CTR)'!Q176</f>
        <v>0.23528804251701399</v>
      </c>
      <c r="P13" s="570">
        <f>'CT (CTR)'!R176</f>
        <v>0.245759653200463</v>
      </c>
      <c r="Q13" s="570">
        <f>'CT (CTR)'!S176</f>
        <v>0.17969801049376299</v>
      </c>
      <c r="R13" s="570">
        <f>'CT (CTR)'!T176</f>
        <v>0</v>
      </c>
      <c r="S13" s="570">
        <f>'CT (CTR)'!U176</f>
        <v>0</v>
      </c>
      <c r="T13" s="570">
        <f>'CT (CTR)'!V176</f>
        <v>0</v>
      </c>
      <c r="U13" s="570">
        <f>'CT (CTR)'!W176</f>
        <v>0</v>
      </c>
      <c r="V13" s="570">
        <f>'CT (CTR)'!X176</f>
        <v>0</v>
      </c>
      <c r="W13" s="570">
        <f>'CT (CTR)'!Y176</f>
        <v>0</v>
      </c>
      <c r="X13" s="570">
        <f>'CT (CTR)'!Z176</f>
        <v>0</v>
      </c>
      <c r="Y13" s="570">
        <f>'CT (CTR)'!AA176</f>
        <v>0</v>
      </c>
      <c r="Z13" s="570">
        <f>'CT (CTR)'!AB176</f>
        <v>0</v>
      </c>
      <c r="AA13" s="570">
        <f>'CT (CTR)'!AC176</f>
        <v>0</v>
      </c>
      <c r="AB13" s="570">
        <f>'CT (CTR)'!AD176</f>
        <v>0</v>
      </c>
      <c r="AC13" s="570">
        <f>'CT (CTR)'!AE176</f>
        <v>0</v>
      </c>
      <c r="AD13" s="570"/>
      <c r="AE13" s="570"/>
      <c r="AF13" s="570"/>
      <c r="AG13" s="570"/>
      <c r="AH13" s="570"/>
      <c r="AI13" s="570"/>
      <c r="AJ13" s="570"/>
      <c r="AK13" s="570"/>
      <c r="AL13" s="570"/>
      <c r="AM13" s="570"/>
      <c r="AN13" s="570"/>
      <c r="AO13" s="570"/>
      <c r="AP13" s="570"/>
      <c r="AQ13" s="570"/>
      <c r="AR13" s="570"/>
      <c r="AS13" s="570"/>
      <c r="AT13" s="570"/>
      <c r="AU13" s="570"/>
      <c r="AV13" s="570"/>
      <c r="AW13" s="570"/>
      <c r="AX13" s="570"/>
      <c r="AY13" s="570"/>
      <c r="AZ13" s="570"/>
      <c r="BA13" s="570"/>
      <c r="BB13" s="570"/>
      <c r="BC13" s="570"/>
      <c r="BD13" s="570"/>
      <c r="BE13" s="570"/>
      <c r="BF13" s="570"/>
      <c r="BG13" s="570"/>
      <c r="BH13" s="570"/>
      <c r="BI13" s="570"/>
      <c r="BJ13" s="570"/>
      <c r="BK13" s="570"/>
      <c r="BL13" s="570"/>
      <c r="BM13" s="570"/>
      <c r="BN13" s="570"/>
      <c r="BO13" s="570"/>
      <c r="BP13" s="570"/>
      <c r="BQ13" s="570"/>
      <c r="BR13" s="570"/>
      <c r="BS13" s="570"/>
      <c r="BT13" s="570"/>
      <c r="BU13" s="570"/>
      <c r="BV13" s="570"/>
      <c r="BW13" s="570"/>
    </row>
    <row r="14" spans="1:75" x14ac:dyDescent="0.2">
      <c r="A14" s="684" t="s">
        <v>549</v>
      </c>
      <c r="B14" s="680">
        <f>TIME(HOUR(B13+$D$3),MINUTE(B13+$D$3),SECOND(B13+$D$3))</f>
        <v>0.79166666666666663</v>
      </c>
      <c r="C14" s="566" t="s">
        <v>356</v>
      </c>
      <c r="D14" s="569">
        <v>2</v>
      </c>
      <c r="E14" s="570">
        <f>'CT (CTR)'!G177</f>
        <v>5.2536458636298899</v>
      </c>
      <c r="F14" s="570">
        <f>'CT (CTR)'!H177</f>
        <v>0.40593651291396898</v>
      </c>
      <c r="G14" s="570">
        <f>'CT (CTR)'!I177</f>
        <v>1.88062371126099</v>
      </c>
      <c r="H14" s="570">
        <f>'CT (CTR)'!J177</f>
        <v>2.44893482934055</v>
      </c>
      <c r="I14" s="570">
        <f>'CT (CTR)'!K177</f>
        <v>2.82345651020416</v>
      </c>
      <c r="J14" s="570">
        <f>'CT (CTR)'!L177</f>
        <v>0.63320924848809501</v>
      </c>
      <c r="K14" s="570">
        <f>'CT (CTR)'!M177</f>
        <v>1.20100324999069</v>
      </c>
      <c r="L14" s="570">
        <f>'CT (CTR)'!N177</f>
        <v>0.53082016624992201</v>
      </c>
      <c r="M14" s="570">
        <f>'CT (CTR)'!O177</f>
        <v>0.34685594399623498</v>
      </c>
      <c r="N14" s="570">
        <f>'CT (CTR)'!P177</f>
        <v>0.364696465901371</v>
      </c>
      <c r="O14" s="570">
        <f>'CT (CTR)'!Q177</f>
        <v>0.30574517612787799</v>
      </c>
      <c r="P14" s="570">
        <f>'CT (CTR)'!R177</f>
        <v>0.19172097090809401</v>
      </c>
      <c r="Q14" s="570">
        <f>'CT (CTR)'!S177</f>
        <v>0.16237460516558799</v>
      </c>
      <c r="R14" s="570">
        <f>'CT (CTR)'!T177</f>
        <v>0</v>
      </c>
      <c r="S14" s="570">
        <f>'CT (CTR)'!U177</f>
        <v>0</v>
      </c>
      <c r="T14" s="570">
        <f>'CT (CTR)'!V177</f>
        <v>0</v>
      </c>
      <c r="U14" s="570">
        <f>'CT (CTR)'!W177</f>
        <v>0</v>
      </c>
      <c r="V14" s="570">
        <f>'CT (CTR)'!X177</f>
        <v>0</v>
      </c>
      <c r="W14" s="570">
        <f>'CT (CTR)'!Y177</f>
        <v>0</v>
      </c>
      <c r="X14" s="570">
        <f>'CT (CTR)'!Z177</f>
        <v>0</v>
      </c>
      <c r="Y14" s="570">
        <f>'CT (CTR)'!AA177</f>
        <v>0</v>
      </c>
      <c r="Z14" s="570">
        <f>'CT (CTR)'!AB177</f>
        <v>0</v>
      </c>
      <c r="AA14" s="570">
        <f>'CT (CTR)'!AC177</f>
        <v>0</v>
      </c>
      <c r="AB14" s="570">
        <f>'CT (CTR)'!AD177</f>
        <v>0</v>
      </c>
      <c r="AC14" s="570">
        <f>'CT (CTR)'!AE177</f>
        <v>0</v>
      </c>
      <c r="AD14" s="570"/>
      <c r="AE14" s="570"/>
      <c r="AF14" s="570"/>
      <c r="AG14" s="570"/>
      <c r="AH14" s="570"/>
      <c r="AI14" s="570"/>
      <c r="AJ14" s="570"/>
      <c r="AK14" s="570"/>
      <c r="AL14" s="570"/>
      <c r="AM14" s="570"/>
      <c r="AN14" s="570"/>
      <c r="AO14" s="570"/>
      <c r="AP14" s="570"/>
      <c r="AQ14" s="570"/>
      <c r="AR14" s="570"/>
      <c r="AS14" s="570"/>
      <c r="AT14" s="570"/>
      <c r="AU14" s="570"/>
      <c r="AV14" s="570"/>
      <c r="AW14" s="570"/>
      <c r="AX14" s="570"/>
      <c r="AY14" s="570"/>
      <c r="AZ14" s="570"/>
      <c r="BA14" s="570"/>
      <c r="BB14" s="570"/>
      <c r="BC14" s="570"/>
      <c r="BD14" s="570"/>
      <c r="BE14" s="570"/>
      <c r="BF14" s="570"/>
      <c r="BG14" s="570"/>
      <c r="BH14" s="570"/>
      <c r="BI14" s="570"/>
      <c r="BJ14" s="570"/>
      <c r="BK14" s="570"/>
      <c r="BL14" s="570"/>
      <c r="BM14" s="570"/>
      <c r="BN14" s="570"/>
      <c r="BO14" s="570"/>
      <c r="BP14" s="570"/>
      <c r="BQ14" s="570"/>
      <c r="BR14" s="570"/>
      <c r="BS14" s="570"/>
      <c r="BT14" s="570"/>
      <c r="BU14" s="570"/>
      <c r="BV14" s="570"/>
      <c r="BW14" s="570"/>
    </row>
    <row r="15" spans="1:75" x14ac:dyDescent="0.2">
      <c r="A15" s="684" t="s">
        <v>549</v>
      </c>
      <c r="B15" s="680">
        <f t="shared" ref="B15:B36" si="0">TIME(HOUR(B14+$D$3),MINUTE(B14+$D$3),SECOND(B14+$D$3))</f>
        <v>0.83333333333333337</v>
      </c>
      <c r="C15" s="566" t="s">
        <v>356</v>
      </c>
      <c r="D15" s="569">
        <v>3</v>
      </c>
      <c r="E15" s="570">
        <f>'CT (CTR)'!G178</f>
        <v>4.71351759899468</v>
      </c>
      <c r="F15" s="570">
        <f>'CT (CTR)'!H178</f>
        <v>0.24162272058477999</v>
      </c>
      <c r="G15" s="570">
        <f>'CT (CTR)'!I178</f>
        <v>2.05127218165795</v>
      </c>
      <c r="H15" s="570">
        <f>'CT (CTR)'!J178</f>
        <v>2.83599658719546</v>
      </c>
      <c r="I15" s="570">
        <f>'CT (CTR)'!K178</f>
        <v>3.3933189780145998</v>
      </c>
      <c r="J15" s="570">
        <f>'CT (CTR)'!L178</f>
        <v>0.62842592015121101</v>
      </c>
      <c r="K15" s="570">
        <f>'CT (CTR)'!M178</f>
        <v>1.4326714764689801</v>
      </c>
      <c r="L15" s="570">
        <f>'CT (CTR)'!N178</f>
        <v>0.49966389248805398</v>
      </c>
      <c r="M15" s="570">
        <f>'CT (CTR)'!O178</f>
        <v>0.30005689378131301</v>
      </c>
      <c r="N15" s="570">
        <f>'CT (CTR)'!P178</f>
        <v>0.33379875042798302</v>
      </c>
      <c r="O15" s="570">
        <f>'CT (CTR)'!Q178</f>
        <v>0.32591272262933602</v>
      </c>
      <c r="P15" s="570">
        <f>'CT (CTR)'!R178</f>
        <v>0.19275520406201499</v>
      </c>
      <c r="Q15" s="570">
        <f>'CT (CTR)'!S178</f>
        <v>0.17620747359927999</v>
      </c>
      <c r="R15" s="570">
        <f>'CT (CTR)'!T178</f>
        <v>0</v>
      </c>
      <c r="S15" s="570">
        <f>'CT (CTR)'!U178</f>
        <v>0</v>
      </c>
      <c r="T15" s="570">
        <f>'CT (CTR)'!V178</f>
        <v>0</v>
      </c>
      <c r="U15" s="570">
        <f>'CT (CTR)'!W178</f>
        <v>0</v>
      </c>
      <c r="V15" s="570">
        <f>'CT (CTR)'!X178</f>
        <v>0</v>
      </c>
      <c r="W15" s="570">
        <f>'CT (CTR)'!Y178</f>
        <v>0</v>
      </c>
      <c r="X15" s="570">
        <f>'CT (CTR)'!Z178</f>
        <v>0</v>
      </c>
      <c r="Y15" s="570">
        <f>'CT (CTR)'!AA178</f>
        <v>0</v>
      </c>
      <c r="Z15" s="570">
        <f>'CT (CTR)'!AB178</f>
        <v>0</v>
      </c>
      <c r="AA15" s="570">
        <f>'CT (CTR)'!AC178</f>
        <v>0</v>
      </c>
      <c r="AB15" s="570">
        <f>'CT (CTR)'!AD178</f>
        <v>0</v>
      </c>
      <c r="AC15" s="570">
        <f>'CT (CTR)'!AE178</f>
        <v>0</v>
      </c>
      <c r="AD15" s="570"/>
      <c r="AE15" s="570"/>
      <c r="AF15" s="570"/>
      <c r="AG15" s="570"/>
      <c r="AH15" s="570"/>
      <c r="AI15" s="570"/>
      <c r="AJ15" s="570"/>
      <c r="AK15" s="570"/>
      <c r="AL15" s="570"/>
      <c r="AM15" s="570"/>
      <c r="AN15" s="570"/>
      <c r="AO15" s="570"/>
      <c r="AP15" s="570"/>
      <c r="AQ15" s="570"/>
      <c r="AR15" s="570"/>
      <c r="AS15" s="570"/>
      <c r="AT15" s="570"/>
      <c r="AU15" s="570"/>
      <c r="AV15" s="570"/>
      <c r="AW15" s="570"/>
      <c r="AX15" s="570"/>
      <c r="AY15" s="570"/>
      <c r="AZ15" s="570"/>
      <c r="BA15" s="570"/>
      <c r="BB15" s="570"/>
      <c r="BC15" s="570"/>
      <c r="BD15" s="570"/>
      <c r="BE15" s="570"/>
      <c r="BF15" s="570"/>
      <c r="BG15" s="570"/>
      <c r="BH15" s="570"/>
      <c r="BI15" s="570"/>
      <c r="BJ15" s="570"/>
      <c r="BK15" s="570"/>
      <c r="BL15" s="570"/>
      <c r="BM15" s="570"/>
      <c r="BN15" s="570"/>
      <c r="BO15" s="570"/>
      <c r="BP15" s="570"/>
      <c r="BQ15" s="570"/>
      <c r="BR15" s="570"/>
      <c r="BS15" s="570"/>
      <c r="BT15" s="570"/>
      <c r="BU15" s="570"/>
      <c r="BV15" s="570"/>
      <c r="BW15" s="570"/>
    </row>
    <row r="16" spans="1:75" x14ac:dyDescent="0.2">
      <c r="A16" s="688" t="str">
        <f>VLOOKUP(B16,'DADOS-Campanha'!$W$4:$X$29,2,FALSE)</f>
        <v>INTERMED</v>
      </c>
      <c r="B16" s="680">
        <f t="shared" si="0"/>
        <v>0.875</v>
      </c>
      <c r="C16" s="566" t="s">
        <v>358</v>
      </c>
      <c r="D16" s="569">
        <v>4</v>
      </c>
      <c r="E16" s="572">
        <f>'CT (CTR)'!G179</f>
        <v>2.9482108843958801</v>
      </c>
      <c r="F16" s="572">
        <f>'CT (CTR)'!H179</f>
        <v>0.218998870342759</v>
      </c>
      <c r="G16" s="572">
        <f>'CT (CTR)'!I179</f>
        <v>1.4192264454680099</v>
      </c>
      <c r="H16" s="572">
        <f>'CT (CTR)'!J179</f>
        <v>2.12702976018265</v>
      </c>
      <c r="I16" s="572">
        <f>'CT (CTR)'!K179</f>
        <v>2.5311563650772602</v>
      </c>
      <c r="J16" s="572">
        <f>'CT (CTR)'!L179</f>
        <v>0.39688697281716101</v>
      </c>
      <c r="K16" s="572">
        <f>'CT (CTR)'!M179</f>
        <v>1.9144948470519001</v>
      </c>
      <c r="L16" s="572">
        <f>'CT (CTR)'!N179</f>
        <v>0.60864621108247297</v>
      </c>
      <c r="M16" s="572">
        <f>'CT (CTR)'!O179</f>
        <v>0.26696143285584301</v>
      </c>
      <c r="N16" s="572">
        <f>'CT (CTR)'!P179</f>
        <v>0.39908471826924302</v>
      </c>
      <c r="O16" s="572">
        <f>'CT (CTR)'!Q179</f>
        <v>0.32746407236021802</v>
      </c>
      <c r="P16" s="572">
        <f>'CT (CTR)'!R179</f>
        <v>0.17788810247440101</v>
      </c>
      <c r="Q16" s="572">
        <f>'CT (CTR)'!S179</f>
        <v>0.15229083191485801</v>
      </c>
      <c r="R16" s="572">
        <f>'CT (CTR)'!T179</f>
        <v>0</v>
      </c>
      <c r="S16" s="572">
        <f>'CT (CTR)'!U179</f>
        <v>0</v>
      </c>
      <c r="T16" s="572">
        <f>'CT (CTR)'!V179</f>
        <v>0</v>
      </c>
      <c r="U16" s="572">
        <f>'CT (CTR)'!W179</f>
        <v>0</v>
      </c>
      <c r="V16" s="572">
        <f>'CT (CTR)'!X179</f>
        <v>0</v>
      </c>
      <c r="W16" s="572">
        <f>'CT (CTR)'!Y179</f>
        <v>0</v>
      </c>
      <c r="X16" s="572">
        <f>'CT (CTR)'!Z179</f>
        <v>0</v>
      </c>
      <c r="Y16" s="572">
        <f>'CT (CTR)'!AA179</f>
        <v>0</v>
      </c>
      <c r="Z16" s="572">
        <f>'CT (CTR)'!AB179</f>
        <v>0</v>
      </c>
      <c r="AA16" s="572">
        <f>'CT (CTR)'!AC179</f>
        <v>0</v>
      </c>
      <c r="AB16" s="572">
        <f>'CT (CTR)'!AD179</f>
        <v>0</v>
      </c>
      <c r="AC16" s="572">
        <f>'CT (CTR)'!AE179</f>
        <v>0</v>
      </c>
      <c r="AD16" s="572"/>
      <c r="AE16" s="572"/>
      <c r="AF16" s="572"/>
      <c r="AG16" s="572"/>
      <c r="AH16" s="572"/>
      <c r="AI16" s="572"/>
      <c r="AJ16" s="572"/>
      <c r="AK16" s="572"/>
      <c r="AL16" s="572"/>
      <c r="AM16" s="572"/>
      <c r="AN16" s="572"/>
      <c r="AO16" s="572"/>
      <c r="AP16" s="572"/>
      <c r="AQ16" s="572"/>
      <c r="AR16" s="572"/>
      <c r="AS16" s="572"/>
      <c r="AT16" s="572"/>
      <c r="AU16" s="572"/>
      <c r="AV16" s="572"/>
      <c r="AW16" s="572"/>
      <c r="AX16" s="572"/>
      <c r="AY16" s="572"/>
      <c r="AZ16" s="572"/>
      <c r="BA16" s="572"/>
      <c r="BB16" s="572"/>
      <c r="BC16" s="572"/>
      <c r="BD16" s="572"/>
      <c r="BE16" s="572"/>
      <c r="BF16" s="572"/>
      <c r="BG16" s="572"/>
      <c r="BH16" s="572"/>
      <c r="BI16" s="572"/>
      <c r="BJ16" s="572"/>
      <c r="BK16" s="572"/>
      <c r="BL16" s="572"/>
      <c r="BM16" s="572"/>
      <c r="BN16" s="572"/>
      <c r="BO16" s="572"/>
      <c r="BP16" s="572"/>
      <c r="BQ16" s="572"/>
      <c r="BR16" s="572"/>
      <c r="BS16" s="572"/>
      <c r="BT16" s="572"/>
      <c r="BU16" s="572"/>
      <c r="BV16" s="572"/>
      <c r="BW16" s="572"/>
    </row>
    <row r="17" spans="1:75" x14ac:dyDescent="0.2">
      <c r="A17" s="688" t="str">
        <f>VLOOKUP(B17,'DADOS-Campanha'!$W$4:$X$29,2,FALSE)</f>
        <v>FORA PONTA</v>
      </c>
      <c r="B17" s="680">
        <f t="shared" si="0"/>
        <v>0.91666666666666663</v>
      </c>
      <c r="C17" s="566" t="s">
        <v>358</v>
      </c>
      <c r="D17" s="569">
        <v>5</v>
      </c>
      <c r="E17" s="572">
        <f>'CT (CTR)'!G180</f>
        <v>1.6889027403529</v>
      </c>
      <c r="F17" s="572">
        <f>'CT (CTR)'!H180</f>
        <v>0.21240563398651299</v>
      </c>
      <c r="G17" s="572">
        <f>'CT (CTR)'!I180</f>
        <v>1.26085949377387</v>
      </c>
      <c r="H17" s="572">
        <f>'CT (CTR)'!J180</f>
        <v>1.7342797199811799</v>
      </c>
      <c r="I17" s="572">
        <f>'CT (CTR)'!K180</f>
        <v>1.6377081992338101</v>
      </c>
      <c r="J17" s="572">
        <f>'CT (CTR)'!L180</f>
        <v>0.50754992028670098</v>
      </c>
      <c r="K17" s="572">
        <f>'CT (CTR)'!M180</f>
        <v>2.5376203222892699</v>
      </c>
      <c r="L17" s="572">
        <f>'CT (CTR)'!N180</f>
        <v>0.28687042106882099</v>
      </c>
      <c r="M17" s="572">
        <f>'CT (CTR)'!O180</f>
        <v>0.33974559106302898</v>
      </c>
      <c r="N17" s="572">
        <f>'CT (CTR)'!P180</f>
        <v>0.289973120530583</v>
      </c>
      <c r="O17" s="572">
        <f>'CT (CTR)'!Q180</f>
        <v>0.294627169723228</v>
      </c>
      <c r="P17" s="572">
        <f>'CT (CTR)'!R180</f>
        <v>0.15384218164574001</v>
      </c>
      <c r="Q17" s="572">
        <f>'CT (CTR)'!S180</f>
        <v>0.144534083260451</v>
      </c>
      <c r="R17" s="572">
        <f>'CT (CTR)'!T180</f>
        <v>0</v>
      </c>
      <c r="S17" s="572">
        <f>'CT (CTR)'!U180</f>
        <v>0</v>
      </c>
      <c r="T17" s="572">
        <f>'CT (CTR)'!V180</f>
        <v>0</v>
      </c>
      <c r="U17" s="572">
        <f>'CT (CTR)'!W180</f>
        <v>0</v>
      </c>
      <c r="V17" s="572">
        <f>'CT (CTR)'!X180</f>
        <v>0</v>
      </c>
      <c r="W17" s="572">
        <f>'CT (CTR)'!Y180</f>
        <v>0</v>
      </c>
      <c r="X17" s="572">
        <f>'CT (CTR)'!Z180</f>
        <v>0</v>
      </c>
      <c r="Y17" s="572">
        <f>'CT (CTR)'!AA180</f>
        <v>0</v>
      </c>
      <c r="Z17" s="572">
        <f>'CT (CTR)'!AB180</f>
        <v>0</v>
      </c>
      <c r="AA17" s="572">
        <f>'CT (CTR)'!AC180</f>
        <v>0</v>
      </c>
      <c r="AB17" s="572">
        <f>'CT (CTR)'!AD180</f>
        <v>0</v>
      </c>
      <c r="AC17" s="572">
        <f>'CT (CTR)'!AE180</f>
        <v>0</v>
      </c>
      <c r="AD17" s="572"/>
      <c r="AE17" s="572"/>
      <c r="AF17" s="572"/>
      <c r="AG17" s="572"/>
      <c r="AH17" s="572"/>
      <c r="AI17" s="572"/>
      <c r="AJ17" s="572"/>
      <c r="AK17" s="572"/>
      <c r="AL17" s="572"/>
      <c r="AM17" s="572"/>
      <c r="AN17" s="572"/>
      <c r="AO17" s="572"/>
      <c r="AP17" s="572"/>
      <c r="AQ17" s="572"/>
      <c r="AR17" s="572"/>
      <c r="AS17" s="572"/>
      <c r="AT17" s="572"/>
      <c r="AU17" s="572"/>
      <c r="AV17" s="572"/>
      <c r="AW17" s="572"/>
      <c r="AX17" s="572"/>
      <c r="AY17" s="572"/>
      <c r="AZ17" s="572"/>
      <c r="BA17" s="572"/>
      <c r="BB17" s="572"/>
      <c r="BC17" s="572"/>
      <c r="BD17" s="572"/>
      <c r="BE17" s="572"/>
      <c r="BF17" s="572"/>
      <c r="BG17" s="572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  <c r="BV17" s="572"/>
      <c r="BW17" s="572"/>
    </row>
    <row r="18" spans="1:75" x14ac:dyDescent="0.2">
      <c r="A18" s="688" t="str">
        <f>VLOOKUP(B18,'DADOS-Campanha'!$W$4:$X$29,2,FALSE)</f>
        <v>FORA PONTA</v>
      </c>
      <c r="B18" s="680">
        <f t="shared" si="0"/>
        <v>0.95833333333333337</v>
      </c>
      <c r="C18" s="566" t="s">
        <v>358</v>
      </c>
      <c r="D18" s="569">
        <v>6</v>
      </c>
      <c r="E18" s="572">
        <f>'CT (CTR)'!G181</f>
        <v>1.3653170423198799</v>
      </c>
      <c r="F18" s="572">
        <f>'CT (CTR)'!H181</f>
        <v>0.239424975132698</v>
      </c>
      <c r="G18" s="572">
        <f>'CT (CTR)'!I181</f>
        <v>1.10559524154148</v>
      </c>
      <c r="H18" s="572">
        <f>'CT (CTR)'!J181</f>
        <v>1.14101772706328</v>
      </c>
      <c r="I18" s="572">
        <f>'CT (CTR)'!K181</f>
        <v>1.15329924576609</v>
      </c>
      <c r="J18" s="572">
        <f>'CT (CTR)'!L181</f>
        <v>0.52694179192271995</v>
      </c>
      <c r="K18" s="572">
        <f>'CT (CTR)'!M181</f>
        <v>1.7846985862348199</v>
      </c>
      <c r="L18" s="572">
        <f>'CT (CTR)'!N181</f>
        <v>0.18667908428273</v>
      </c>
      <c r="M18" s="572">
        <f>'CT (CTR)'!O181</f>
        <v>0.30005689378131301</v>
      </c>
      <c r="N18" s="572">
        <f>'CT (CTR)'!P181</f>
        <v>0.23606371738245399</v>
      </c>
      <c r="O18" s="572">
        <f>'CT (CTR)'!Q181</f>
        <v>0.29333437828082598</v>
      </c>
      <c r="P18" s="572">
        <f>'CT (CTR)'!R181</f>
        <v>0.12889130680739699</v>
      </c>
      <c r="Q18" s="572">
        <f>'CT (CTR)'!S181</f>
        <v>0.14466336240469099</v>
      </c>
      <c r="R18" s="572">
        <f>'CT (CTR)'!T181</f>
        <v>0</v>
      </c>
      <c r="S18" s="572">
        <f>'CT (CTR)'!U181</f>
        <v>0</v>
      </c>
      <c r="T18" s="572">
        <f>'CT (CTR)'!V181</f>
        <v>0</v>
      </c>
      <c r="U18" s="572">
        <f>'CT (CTR)'!W181</f>
        <v>0</v>
      </c>
      <c r="V18" s="572">
        <f>'CT (CTR)'!X181</f>
        <v>0</v>
      </c>
      <c r="W18" s="572">
        <f>'CT (CTR)'!Y181</f>
        <v>0</v>
      </c>
      <c r="X18" s="572">
        <f>'CT (CTR)'!Z181</f>
        <v>0</v>
      </c>
      <c r="Y18" s="572">
        <f>'CT (CTR)'!AA181</f>
        <v>0</v>
      </c>
      <c r="Z18" s="572">
        <f>'CT (CTR)'!AB181</f>
        <v>0</v>
      </c>
      <c r="AA18" s="572">
        <f>'CT (CTR)'!AC181</f>
        <v>0</v>
      </c>
      <c r="AB18" s="572">
        <f>'CT (CTR)'!AD181</f>
        <v>0</v>
      </c>
      <c r="AC18" s="572">
        <f>'CT (CTR)'!AE181</f>
        <v>0</v>
      </c>
      <c r="AD18" s="572"/>
      <c r="AE18" s="572"/>
      <c r="AF18" s="572"/>
      <c r="AG18" s="572"/>
      <c r="AH18" s="572"/>
      <c r="AI18" s="572"/>
      <c r="AJ18" s="572"/>
      <c r="AK18" s="572"/>
      <c r="AL18" s="572"/>
      <c r="AM18" s="572"/>
      <c r="AN18" s="572"/>
      <c r="AO18" s="572"/>
      <c r="AP18" s="572"/>
      <c r="AQ18" s="572"/>
      <c r="AR18" s="572"/>
      <c r="AS18" s="572"/>
      <c r="AT18" s="572"/>
      <c r="AU18" s="572"/>
      <c r="AV18" s="572"/>
      <c r="AW18" s="572"/>
      <c r="AX18" s="572"/>
      <c r="AY18" s="572"/>
      <c r="AZ18" s="572"/>
      <c r="BA18" s="572"/>
      <c r="BB18" s="572"/>
      <c r="BC18" s="572"/>
      <c r="BD18" s="572"/>
      <c r="BE18" s="572"/>
      <c r="BF18" s="572"/>
      <c r="BG18" s="572"/>
      <c r="BH18" s="572"/>
      <c r="BI18" s="572"/>
      <c r="BJ18" s="572"/>
      <c r="BK18" s="572"/>
      <c r="BL18" s="572"/>
      <c r="BM18" s="572"/>
      <c r="BN18" s="572"/>
      <c r="BO18" s="572"/>
      <c r="BP18" s="572"/>
      <c r="BQ18" s="572"/>
      <c r="BR18" s="572"/>
      <c r="BS18" s="572"/>
      <c r="BT18" s="572"/>
      <c r="BU18" s="572"/>
      <c r="BV18" s="572"/>
      <c r="BW18" s="572"/>
    </row>
    <row r="19" spans="1:75" x14ac:dyDescent="0.2">
      <c r="A19" s="688" t="str">
        <f>VLOOKUP(B19,'DADOS-Campanha'!$W$4:$X$29,2,FALSE)</f>
        <v>FORA PONTA</v>
      </c>
      <c r="B19" s="680">
        <f t="shared" si="0"/>
        <v>0</v>
      </c>
      <c r="C19" s="566" t="s">
        <v>358</v>
      </c>
      <c r="D19" s="569">
        <v>7</v>
      </c>
      <c r="E19" s="572">
        <f>'CT (CTR)'!G182</f>
        <v>1.23771852695488</v>
      </c>
      <c r="F19" s="572">
        <f>'CT (CTR)'!H182</f>
        <v>0.26515152483648102</v>
      </c>
      <c r="G19" s="572">
        <f>'CT (CTR)'!I182</f>
        <v>0.71530150508057</v>
      </c>
      <c r="H19" s="572">
        <f>'CT (CTR)'!J182</f>
        <v>0.68091325271269898</v>
      </c>
      <c r="I19" s="572">
        <f>'CT (CTR)'!K182</f>
        <v>0.84884686108061103</v>
      </c>
      <c r="J19" s="572">
        <f>'CT (CTR)'!L182</f>
        <v>0.23347813449765201</v>
      </c>
      <c r="K19" s="572">
        <f>'CT (CTR)'!M182</f>
        <v>0.48583102405436202</v>
      </c>
      <c r="L19" s="572">
        <f>'CT (CTR)'!N182</f>
        <v>0.35952530013176698</v>
      </c>
      <c r="M19" s="572">
        <f>'CT (CTR)'!O182</f>
        <v>0.41485677386653702</v>
      </c>
      <c r="N19" s="572">
        <f>'CT (CTR)'!P182</f>
        <v>0.213439867140434</v>
      </c>
      <c r="O19" s="572">
        <f>'CT (CTR)'!Q182</f>
        <v>0.32707623492749699</v>
      </c>
      <c r="P19" s="572">
        <f>'CT (CTR)'!R182</f>
        <v>0.14078498807748799</v>
      </c>
      <c r="Q19" s="572">
        <f>'CT (CTR)'!S182</f>
        <v>0.12022960414330899</v>
      </c>
      <c r="R19" s="572">
        <f>'CT (CTR)'!T182</f>
        <v>0</v>
      </c>
      <c r="S19" s="572">
        <f>'CT (CTR)'!U182</f>
        <v>0</v>
      </c>
      <c r="T19" s="572">
        <f>'CT (CTR)'!V182</f>
        <v>0</v>
      </c>
      <c r="U19" s="572">
        <f>'CT (CTR)'!W182</f>
        <v>0</v>
      </c>
      <c r="V19" s="572">
        <f>'CT (CTR)'!X182</f>
        <v>0</v>
      </c>
      <c r="W19" s="572">
        <f>'CT (CTR)'!Y182</f>
        <v>0</v>
      </c>
      <c r="X19" s="572">
        <f>'CT (CTR)'!Z182</f>
        <v>0</v>
      </c>
      <c r="Y19" s="572">
        <f>'CT (CTR)'!AA182</f>
        <v>0</v>
      </c>
      <c r="Z19" s="572">
        <f>'CT (CTR)'!AB182</f>
        <v>0</v>
      </c>
      <c r="AA19" s="572">
        <f>'CT (CTR)'!AC182</f>
        <v>0</v>
      </c>
      <c r="AB19" s="572">
        <f>'CT (CTR)'!AD182</f>
        <v>0</v>
      </c>
      <c r="AC19" s="572">
        <f>'CT (CTR)'!AE182</f>
        <v>0</v>
      </c>
      <c r="AD19" s="572"/>
      <c r="AE19" s="572"/>
      <c r="AF19" s="572"/>
      <c r="AG19" s="572"/>
      <c r="AH19" s="572"/>
      <c r="AI19" s="572"/>
      <c r="AJ19" s="572"/>
      <c r="AK19" s="572"/>
      <c r="AL19" s="572"/>
      <c r="AM19" s="572"/>
      <c r="AN19" s="572"/>
      <c r="AO19" s="572"/>
      <c r="AP19" s="572"/>
      <c r="AQ19" s="572"/>
      <c r="AR19" s="572"/>
      <c r="AS19" s="572"/>
      <c r="AT19" s="572"/>
      <c r="AU19" s="572"/>
      <c r="AV19" s="572"/>
      <c r="AW19" s="572"/>
      <c r="AX19" s="572"/>
      <c r="AY19" s="572"/>
      <c r="AZ19" s="572"/>
      <c r="BA19" s="572"/>
      <c r="BB19" s="572"/>
      <c r="BC19" s="572"/>
      <c r="BD19" s="572"/>
      <c r="BE19" s="572"/>
      <c r="BF19" s="572"/>
      <c r="BG19" s="572"/>
      <c r="BH19" s="572"/>
      <c r="BI19" s="572"/>
      <c r="BJ19" s="572"/>
      <c r="BK19" s="572"/>
      <c r="BL19" s="572"/>
      <c r="BM19" s="572"/>
      <c r="BN19" s="572"/>
      <c r="BO19" s="572"/>
      <c r="BP19" s="572"/>
      <c r="BQ19" s="572"/>
      <c r="BR19" s="572"/>
      <c r="BS19" s="572"/>
      <c r="BT19" s="572"/>
      <c r="BU19" s="572"/>
      <c r="BV19" s="572"/>
      <c r="BW19" s="572"/>
    </row>
    <row r="20" spans="1:75" x14ac:dyDescent="0.2">
      <c r="A20" s="688" t="str">
        <f>VLOOKUP(B20,'DADOS-Campanha'!$W$4:$X$29,2,FALSE)</f>
        <v>FORA PONTA</v>
      </c>
      <c r="B20" s="680">
        <f t="shared" si="0"/>
        <v>4.1666666666666664E-2</v>
      </c>
      <c r="C20" s="566" t="s">
        <v>358</v>
      </c>
      <c r="D20" s="569">
        <v>8</v>
      </c>
      <c r="E20" s="572">
        <f>'CT (CTR)'!G183</f>
        <v>1.0509101635279099</v>
      </c>
      <c r="F20" s="572">
        <f>'CT (CTR)'!H183</f>
        <v>0.239812812565418</v>
      </c>
      <c r="G20" s="572">
        <f>'CT (CTR)'!I183</f>
        <v>0.64083671799826303</v>
      </c>
      <c r="H20" s="572">
        <f>'CT (CTR)'!J183</f>
        <v>0.62015205491984404</v>
      </c>
      <c r="I20" s="572">
        <f>'CT (CTR)'!K183</f>
        <v>0.658547960759158</v>
      </c>
      <c r="J20" s="572">
        <f>'CT (CTR)'!L183</f>
        <v>0.18176647680160499</v>
      </c>
      <c r="K20" s="572">
        <f>'CT (CTR)'!M183</f>
        <v>0.37827077604658399</v>
      </c>
      <c r="L20" s="572">
        <f>'CT (CTR)'!N183</f>
        <v>0.18758403829241099</v>
      </c>
      <c r="M20" s="572">
        <f>'CT (CTR)'!O183</f>
        <v>0.33845279962062802</v>
      </c>
      <c r="N20" s="572">
        <f>'CT (CTR)'!P183</f>
        <v>0.20736374736114799</v>
      </c>
      <c r="O20" s="572">
        <f>'CT (CTR)'!Q183</f>
        <v>0.31453615793620598</v>
      </c>
      <c r="P20" s="572">
        <f>'CT (CTR)'!R183</f>
        <v>0.12850346937467699</v>
      </c>
      <c r="Q20" s="572">
        <f>'CT (CTR)'!S183</f>
        <v>0.14957596988581601</v>
      </c>
      <c r="R20" s="572">
        <f>'CT (CTR)'!T183</f>
        <v>0</v>
      </c>
      <c r="S20" s="572">
        <f>'CT (CTR)'!U183</f>
        <v>0</v>
      </c>
      <c r="T20" s="572">
        <f>'CT (CTR)'!V183</f>
        <v>0</v>
      </c>
      <c r="U20" s="572">
        <f>'CT (CTR)'!W183</f>
        <v>0</v>
      </c>
      <c r="V20" s="572">
        <f>'CT (CTR)'!X183</f>
        <v>0</v>
      </c>
      <c r="W20" s="572">
        <f>'CT (CTR)'!Y183</f>
        <v>0</v>
      </c>
      <c r="X20" s="572">
        <f>'CT (CTR)'!Z183</f>
        <v>0</v>
      </c>
      <c r="Y20" s="572">
        <f>'CT (CTR)'!AA183</f>
        <v>0</v>
      </c>
      <c r="Z20" s="572">
        <f>'CT (CTR)'!AB183</f>
        <v>0</v>
      </c>
      <c r="AA20" s="572">
        <f>'CT (CTR)'!AC183</f>
        <v>0</v>
      </c>
      <c r="AB20" s="572">
        <f>'CT (CTR)'!AD183</f>
        <v>0</v>
      </c>
      <c r="AC20" s="572">
        <f>'CT (CTR)'!AE183</f>
        <v>0</v>
      </c>
      <c r="AD20" s="572"/>
      <c r="AE20" s="572"/>
      <c r="AF20" s="572"/>
      <c r="AG20" s="572"/>
      <c r="AH20" s="572"/>
      <c r="AI20" s="572"/>
      <c r="AJ20" s="572"/>
      <c r="AK20" s="572"/>
      <c r="AL20" s="572"/>
      <c r="AM20" s="572"/>
      <c r="AN20" s="572"/>
      <c r="AO20" s="572"/>
      <c r="AP20" s="572"/>
      <c r="AQ20" s="572"/>
      <c r="AR20" s="572"/>
      <c r="AS20" s="572"/>
      <c r="AT20" s="572"/>
      <c r="AU20" s="572"/>
      <c r="AV20" s="572"/>
      <c r="AW20" s="572"/>
      <c r="AX20" s="572"/>
      <c r="AY20" s="572"/>
      <c r="AZ20" s="572"/>
      <c r="BA20" s="572"/>
      <c r="BB20" s="572"/>
      <c r="BC20" s="572"/>
      <c r="BD20" s="572"/>
      <c r="BE20" s="572"/>
      <c r="BF20" s="572"/>
      <c r="BG20" s="572"/>
      <c r="BH20" s="572"/>
      <c r="BI20" s="572"/>
      <c r="BJ20" s="572"/>
      <c r="BK20" s="572"/>
      <c r="BL20" s="572"/>
      <c r="BM20" s="572"/>
      <c r="BN20" s="572"/>
      <c r="BO20" s="572"/>
      <c r="BP20" s="572"/>
      <c r="BQ20" s="572"/>
      <c r="BR20" s="572"/>
      <c r="BS20" s="572"/>
      <c r="BT20" s="572"/>
      <c r="BU20" s="572"/>
      <c r="BV20" s="572"/>
      <c r="BW20" s="572"/>
    </row>
    <row r="21" spans="1:75" x14ac:dyDescent="0.2">
      <c r="A21" s="688" t="str">
        <f>VLOOKUP(B21,'DADOS-Campanha'!$W$4:$X$29,2,FALSE)</f>
        <v>FORA PONTA</v>
      </c>
      <c r="B21" s="680">
        <f t="shared" si="0"/>
        <v>8.3333333333333329E-2</v>
      </c>
      <c r="C21" s="566" t="s">
        <v>358</v>
      </c>
      <c r="D21" s="569">
        <v>9</v>
      </c>
      <c r="E21" s="572">
        <f>'CT (CTR)'!G184</f>
        <v>0.96610304490639598</v>
      </c>
      <c r="F21" s="572">
        <f>'CT (CTR)'!H184</f>
        <v>0.137811567759965</v>
      </c>
      <c r="G21" s="572">
        <f>'CT (CTR)'!I184</f>
        <v>0.62092772978528399</v>
      </c>
      <c r="H21" s="572">
        <f>'CT (CTR)'!J184</f>
        <v>0.58705659399437404</v>
      </c>
      <c r="I21" s="572">
        <f>'CT (CTR)'!K184</f>
        <v>0.59442550521605997</v>
      </c>
      <c r="J21" s="572">
        <f>'CT (CTR)'!L184</f>
        <v>0.57180165497403901</v>
      </c>
      <c r="K21" s="572">
        <f>'CT (CTR)'!M184</f>
        <v>0.35357845949672101</v>
      </c>
      <c r="L21" s="572">
        <f>'CT (CTR)'!N184</f>
        <v>0.19210880834081501</v>
      </c>
      <c r="M21" s="572">
        <f>'CT (CTR)'!O184</f>
        <v>0.27239115691392801</v>
      </c>
      <c r="N21" s="572">
        <f>'CT (CTR)'!P184</f>
        <v>0.17569035702232</v>
      </c>
      <c r="O21" s="572">
        <f>'CT (CTR)'!Q184</f>
        <v>0.30315959324307601</v>
      </c>
      <c r="P21" s="572">
        <f>'CT (CTR)'!R184</f>
        <v>0.10587961913265601</v>
      </c>
      <c r="Q21" s="572">
        <f>'CT (CTR)'!S184</f>
        <v>0.134708868298202</v>
      </c>
      <c r="R21" s="572">
        <f>'CT (CTR)'!T184</f>
        <v>0</v>
      </c>
      <c r="S21" s="572">
        <f>'CT (CTR)'!U184</f>
        <v>0</v>
      </c>
      <c r="T21" s="572">
        <f>'CT (CTR)'!V184</f>
        <v>0</v>
      </c>
      <c r="U21" s="572">
        <f>'CT (CTR)'!W184</f>
        <v>0</v>
      </c>
      <c r="V21" s="572">
        <f>'CT (CTR)'!X184</f>
        <v>0</v>
      </c>
      <c r="W21" s="572">
        <f>'CT (CTR)'!Y184</f>
        <v>0</v>
      </c>
      <c r="X21" s="572">
        <f>'CT (CTR)'!Z184</f>
        <v>0</v>
      </c>
      <c r="Y21" s="572">
        <f>'CT (CTR)'!AA184</f>
        <v>0</v>
      </c>
      <c r="Z21" s="572">
        <f>'CT (CTR)'!AB184</f>
        <v>0</v>
      </c>
      <c r="AA21" s="572">
        <f>'CT (CTR)'!AC184</f>
        <v>0</v>
      </c>
      <c r="AB21" s="572">
        <f>'CT (CTR)'!AD184</f>
        <v>0</v>
      </c>
      <c r="AC21" s="572">
        <f>'CT (CTR)'!AE184</f>
        <v>0</v>
      </c>
      <c r="AD21" s="572"/>
      <c r="AE21" s="572"/>
      <c r="AF21" s="572"/>
      <c r="AG21" s="572"/>
      <c r="AH21" s="572"/>
      <c r="AI21" s="572"/>
      <c r="AJ21" s="572"/>
      <c r="AK21" s="572"/>
      <c r="AL21" s="572"/>
      <c r="AM21" s="572"/>
      <c r="AN21" s="572"/>
      <c r="AO21" s="572"/>
      <c r="AP21" s="572"/>
      <c r="AQ21" s="572"/>
      <c r="AR21" s="572"/>
      <c r="AS21" s="572"/>
      <c r="AT21" s="572"/>
      <c r="AU21" s="572"/>
      <c r="AV21" s="572"/>
      <c r="AW21" s="572"/>
      <c r="AX21" s="572"/>
      <c r="AY21" s="572"/>
      <c r="AZ21" s="572"/>
      <c r="BA21" s="572"/>
      <c r="BB21" s="572"/>
      <c r="BC21" s="572"/>
      <c r="BD21" s="572"/>
      <c r="BE21" s="572"/>
      <c r="BF21" s="572"/>
      <c r="BG21" s="572"/>
      <c r="BH21" s="572"/>
      <c r="BI21" s="572"/>
      <c r="BJ21" s="572"/>
      <c r="BK21" s="572"/>
      <c r="BL21" s="572"/>
      <c r="BM21" s="572"/>
      <c r="BN21" s="572"/>
      <c r="BO21" s="572"/>
      <c r="BP21" s="572"/>
      <c r="BQ21" s="572"/>
      <c r="BR21" s="572"/>
      <c r="BS21" s="572"/>
      <c r="BT21" s="572"/>
      <c r="BU21" s="572"/>
      <c r="BV21" s="572"/>
      <c r="BW21" s="572"/>
    </row>
    <row r="22" spans="1:75" x14ac:dyDescent="0.2">
      <c r="A22" s="688" t="str">
        <f>VLOOKUP(B22,'DADOS-Campanha'!$W$4:$X$29,2,FALSE)</f>
        <v>FORA PONTA</v>
      </c>
      <c r="B22" s="680">
        <f t="shared" si="0"/>
        <v>0.125</v>
      </c>
      <c r="C22" s="566" t="s">
        <v>358</v>
      </c>
      <c r="D22" s="569">
        <v>10</v>
      </c>
      <c r="E22" s="572">
        <f>'CT (CTR)'!G185</f>
        <v>0.90017068134393796</v>
      </c>
      <c r="F22" s="572">
        <f>'CT (CTR)'!H185</f>
        <v>0.15073948218397701</v>
      </c>
      <c r="G22" s="572">
        <f>'CT (CTR)'!I185</f>
        <v>0.61562728487143903</v>
      </c>
      <c r="H22" s="572">
        <f>'CT (CTR)'!J185</f>
        <v>0.52513188390335697</v>
      </c>
      <c r="I22" s="572">
        <f>'CT (CTR)'!K185</f>
        <v>0.58356605709988996</v>
      </c>
      <c r="J22" s="572">
        <f>'CT (CTR)'!L185</f>
        <v>0.46850761872618601</v>
      </c>
      <c r="K22" s="572">
        <f>'CT (CTR)'!M185</f>
        <v>0.32410281460997498</v>
      </c>
      <c r="L22" s="572">
        <f>'CT (CTR)'!N185</f>
        <v>0.17698314846472099</v>
      </c>
      <c r="M22" s="572">
        <f>'CT (CTR)'!O185</f>
        <v>0.25106009811430802</v>
      </c>
      <c r="N22" s="572">
        <f>'CT (CTR)'!P185</f>
        <v>0.199736277850981</v>
      </c>
      <c r="O22" s="572">
        <f>'CT (CTR)'!Q185</f>
        <v>0.29281726170386602</v>
      </c>
      <c r="P22" s="572">
        <f>'CT (CTR)'!R185</f>
        <v>0.108077364584738</v>
      </c>
      <c r="Q22" s="572">
        <f>'CT (CTR)'!S185</f>
        <v>0.13755300947148499</v>
      </c>
      <c r="R22" s="572">
        <f>'CT (CTR)'!T185</f>
        <v>0</v>
      </c>
      <c r="S22" s="572">
        <f>'CT (CTR)'!U185</f>
        <v>0</v>
      </c>
      <c r="T22" s="572">
        <f>'CT (CTR)'!V185</f>
        <v>0</v>
      </c>
      <c r="U22" s="572">
        <f>'CT (CTR)'!W185</f>
        <v>0</v>
      </c>
      <c r="V22" s="572">
        <f>'CT (CTR)'!X185</f>
        <v>0</v>
      </c>
      <c r="W22" s="572">
        <f>'CT (CTR)'!Y185</f>
        <v>0</v>
      </c>
      <c r="X22" s="572">
        <f>'CT (CTR)'!Z185</f>
        <v>0</v>
      </c>
      <c r="Y22" s="572">
        <f>'CT (CTR)'!AA185</f>
        <v>0</v>
      </c>
      <c r="Z22" s="572">
        <f>'CT (CTR)'!AB185</f>
        <v>0</v>
      </c>
      <c r="AA22" s="572">
        <f>'CT (CTR)'!AC185</f>
        <v>0</v>
      </c>
      <c r="AB22" s="572">
        <f>'CT (CTR)'!AD185</f>
        <v>0</v>
      </c>
      <c r="AC22" s="572">
        <f>'CT (CTR)'!AE185</f>
        <v>0</v>
      </c>
      <c r="AD22" s="572"/>
      <c r="AE22" s="572"/>
      <c r="AF22" s="572"/>
      <c r="AG22" s="572"/>
      <c r="AH22" s="572"/>
      <c r="AI22" s="572"/>
      <c r="AJ22" s="572"/>
      <c r="AK22" s="572"/>
      <c r="AL22" s="572"/>
      <c r="AM22" s="572"/>
      <c r="AN22" s="572"/>
      <c r="AO22" s="572"/>
      <c r="AP22" s="572"/>
      <c r="AQ22" s="572"/>
      <c r="AR22" s="572"/>
      <c r="AS22" s="572"/>
      <c r="AT22" s="572"/>
      <c r="AU22" s="572"/>
      <c r="AV22" s="572"/>
      <c r="AW22" s="572"/>
      <c r="AX22" s="572"/>
      <c r="AY22" s="572"/>
      <c r="AZ22" s="572"/>
      <c r="BA22" s="572"/>
      <c r="BB22" s="572"/>
      <c r="BC22" s="572"/>
      <c r="BD22" s="572"/>
      <c r="BE22" s="572"/>
      <c r="BF22" s="572"/>
      <c r="BG22" s="572"/>
      <c r="BH22" s="572"/>
      <c r="BI22" s="572"/>
      <c r="BJ22" s="572"/>
      <c r="BK22" s="572"/>
      <c r="BL22" s="572"/>
      <c r="BM22" s="572"/>
      <c r="BN22" s="572"/>
      <c r="BO22" s="572"/>
      <c r="BP22" s="572"/>
      <c r="BQ22" s="572"/>
      <c r="BR22" s="572"/>
      <c r="BS22" s="572"/>
      <c r="BT22" s="572"/>
      <c r="BU22" s="572"/>
      <c r="BV22" s="572"/>
      <c r="BW22" s="572"/>
    </row>
    <row r="23" spans="1:75" x14ac:dyDescent="0.2">
      <c r="A23" s="688" t="str">
        <f>VLOOKUP(B23,'DADOS-Campanha'!$W$4:$X$29,2,FALSE)</f>
        <v>FORA PONTA</v>
      </c>
      <c r="B23" s="680">
        <f t="shared" si="0"/>
        <v>0.16666666666666666</v>
      </c>
      <c r="C23" s="566" t="s">
        <v>358</v>
      </c>
      <c r="D23" s="569">
        <v>11</v>
      </c>
      <c r="E23" s="572">
        <f>'CT (CTR)'!G186</f>
        <v>0.83669462152203999</v>
      </c>
      <c r="F23" s="572">
        <f>'CT (CTR)'!H186</f>
        <v>0.13807012604844601</v>
      </c>
      <c r="G23" s="572">
        <f>'CT (CTR)'!I186</f>
        <v>0.69616819173303301</v>
      </c>
      <c r="H23" s="572">
        <f>'CT (CTR)'!J186</f>
        <v>0.53754268175040898</v>
      </c>
      <c r="I23" s="572">
        <f>'CT (CTR)'!K186</f>
        <v>0.52358053417247596</v>
      </c>
      <c r="J23" s="572">
        <f>'CT (CTR)'!L186</f>
        <v>0.44135899843576099</v>
      </c>
      <c r="K23" s="572">
        <f>'CT (CTR)'!M186</f>
        <v>0.333152354706783</v>
      </c>
      <c r="L23" s="572">
        <f>'CT (CTR)'!N186</f>
        <v>0.202838977312745</v>
      </c>
      <c r="M23" s="572">
        <f>'CT (CTR)'!O186</f>
        <v>0.20064123186066199</v>
      </c>
      <c r="N23" s="572">
        <f>'CT (CTR)'!P186</f>
        <v>0.17194126183935601</v>
      </c>
      <c r="O23" s="572">
        <f>'CT (CTR)'!Q186</f>
        <v>0.26411729168255998</v>
      </c>
      <c r="P23" s="572">
        <f>'CT (CTR)'!R186</f>
        <v>9.6959358180088301E-2</v>
      </c>
      <c r="Q23" s="572">
        <f>'CT (CTR)'!S186</f>
        <v>0.125659328201394</v>
      </c>
      <c r="R23" s="572">
        <f>'CT (CTR)'!T186</f>
        <v>0</v>
      </c>
      <c r="S23" s="572">
        <f>'CT (CTR)'!U186</f>
        <v>0</v>
      </c>
      <c r="T23" s="572">
        <f>'CT (CTR)'!V186</f>
        <v>0</v>
      </c>
      <c r="U23" s="572">
        <f>'CT (CTR)'!W186</f>
        <v>0</v>
      </c>
      <c r="V23" s="572">
        <f>'CT (CTR)'!X186</f>
        <v>0</v>
      </c>
      <c r="W23" s="572">
        <f>'CT (CTR)'!Y186</f>
        <v>0</v>
      </c>
      <c r="X23" s="572">
        <f>'CT (CTR)'!Z186</f>
        <v>0</v>
      </c>
      <c r="Y23" s="572">
        <f>'CT (CTR)'!AA186</f>
        <v>0</v>
      </c>
      <c r="Z23" s="572">
        <f>'CT (CTR)'!AB186</f>
        <v>0</v>
      </c>
      <c r="AA23" s="572">
        <f>'CT (CTR)'!AC186</f>
        <v>0</v>
      </c>
      <c r="AB23" s="572">
        <f>'CT (CTR)'!AD186</f>
        <v>0</v>
      </c>
      <c r="AC23" s="572">
        <f>'CT (CTR)'!AE186</f>
        <v>0</v>
      </c>
      <c r="AD23" s="572"/>
      <c r="AE23" s="572"/>
      <c r="AF23" s="572"/>
      <c r="AG23" s="572"/>
      <c r="AH23" s="572"/>
      <c r="AI23" s="572"/>
      <c r="AJ23" s="572"/>
      <c r="AK23" s="572"/>
      <c r="AL23" s="572"/>
      <c r="AM23" s="572"/>
      <c r="AN23" s="572"/>
      <c r="AO23" s="572"/>
      <c r="AP23" s="572"/>
      <c r="AQ23" s="572"/>
      <c r="AR23" s="572"/>
      <c r="AS23" s="572"/>
      <c r="AT23" s="572"/>
      <c r="AU23" s="572"/>
      <c r="AV23" s="572"/>
      <c r="AW23" s="572"/>
      <c r="AX23" s="572"/>
      <c r="AY23" s="572"/>
      <c r="AZ23" s="572"/>
      <c r="BA23" s="572"/>
      <c r="BB23" s="572"/>
      <c r="BC23" s="572"/>
      <c r="BD23" s="572"/>
      <c r="BE23" s="572"/>
      <c r="BF23" s="572"/>
      <c r="BG23" s="572"/>
      <c r="BH23" s="572"/>
      <c r="BI23" s="572"/>
      <c r="BJ23" s="572"/>
      <c r="BK23" s="572"/>
      <c r="BL23" s="572"/>
      <c r="BM23" s="572"/>
      <c r="BN23" s="572"/>
      <c r="BO23" s="572"/>
      <c r="BP23" s="572"/>
      <c r="BQ23" s="572"/>
      <c r="BR23" s="572"/>
      <c r="BS23" s="572"/>
      <c r="BT23" s="572"/>
      <c r="BU23" s="572"/>
      <c r="BV23" s="572"/>
      <c r="BW23" s="572"/>
    </row>
    <row r="24" spans="1:75" x14ac:dyDescent="0.2">
      <c r="A24" s="688" t="str">
        <f>VLOOKUP(B24,'DADOS-Campanha'!$W$4:$X$29,2,FALSE)</f>
        <v>FORA PONTA</v>
      </c>
      <c r="B24" s="680">
        <f t="shared" si="0"/>
        <v>0.20833333333333334</v>
      </c>
      <c r="C24" s="566" t="s">
        <v>358</v>
      </c>
      <c r="D24" s="569">
        <v>12</v>
      </c>
      <c r="E24" s="572">
        <f>'CT (CTR)'!G187</f>
        <v>0.83553110922387896</v>
      </c>
      <c r="F24" s="572">
        <f>'CT (CTR)'!H187</f>
        <v>0.151256598760938</v>
      </c>
      <c r="G24" s="572">
        <f>'CT (CTR)'!I187</f>
        <v>0.855569376581096</v>
      </c>
      <c r="H24" s="572">
        <f>'CT (CTR)'!J187</f>
        <v>0.59998450841838502</v>
      </c>
      <c r="I24" s="572">
        <f>'CT (CTR)'!K187</f>
        <v>0.60244081215894696</v>
      </c>
      <c r="J24" s="572">
        <f>'CT (CTR)'!L187</f>
        <v>0.27058124889456597</v>
      </c>
      <c r="K24" s="572">
        <f>'CT (CTR)'!M187</f>
        <v>0.33974559106302898</v>
      </c>
      <c r="L24" s="572">
        <f>'CT (CTR)'!N187</f>
        <v>0.222101569804522</v>
      </c>
      <c r="M24" s="572">
        <f>'CT (CTR)'!O187</f>
        <v>0.37154826054609802</v>
      </c>
      <c r="N24" s="572">
        <f>'CT (CTR)'!P187</f>
        <v>0.14944669074157599</v>
      </c>
      <c r="O24" s="572">
        <f>'CT (CTR)'!Q187</f>
        <v>0.29023167881906298</v>
      </c>
      <c r="P24" s="572">
        <f>'CT (CTR)'!R187</f>
        <v>0.123849420182033</v>
      </c>
      <c r="Q24" s="572">
        <f>'CT (CTR)'!S187</f>
        <v>0.12733995707651599</v>
      </c>
      <c r="R24" s="572">
        <f>'CT (CTR)'!T187</f>
        <v>0</v>
      </c>
      <c r="S24" s="572">
        <f>'CT (CTR)'!U187</f>
        <v>0</v>
      </c>
      <c r="T24" s="572">
        <f>'CT (CTR)'!V187</f>
        <v>0</v>
      </c>
      <c r="U24" s="572">
        <f>'CT (CTR)'!W187</f>
        <v>0</v>
      </c>
      <c r="V24" s="572">
        <f>'CT (CTR)'!X187</f>
        <v>0</v>
      </c>
      <c r="W24" s="572">
        <f>'CT (CTR)'!Y187</f>
        <v>0</v>
      </c>
      <c r="X24" s="572">
        <f>'CT (CTR)'!Z187</f>
        <v>0</v>
      </c>
      <c r="Y24" s="572">
        <f>'CT (CTR)'!AA187</f>
        <v>0</v>
      </c>
      <c r="Z24" s="572">
        <f>'CT (CTR)'!AB187</f>
        <v>0</v>
      </c>
      <c r="AA24" s="572">
        <f>'CT (CTR)'!AC187</f>
        <v>0</v>
      </c>
      <c r="AB24" s="572">
        <f>'CT (CTR)'!AD187</f>
        <v>0</v>
      </c>
      <c r="AC24" s="572">
        <f>'CT (CTR)'!AE187</f>
        <v>0</v>
      </c>
      <c r="AD24" s="572"/>
      <c r="AE24" s="572"/>
      <c r="AF24" s="572"/>
      <c r="AG24" s="572"/>
      <c r="AH24" s="572"/>
      <c r="AI24" s="572"/>
      <c r="AJ24" s="572"/>
      <c r="AK24" s="572"/>
      <c r="AL24" s="572"/>
      <c r="AM24" s="572"/>
      <c r="AN24" s="572"/>
      <c r="AO24" s="572"/>
      <c r="AP24" s="572"/>
      <c r="AQ24" s="572"/>
      <c r="AR24" s="572"/>
      <c r="AS24" s="572"/>
      <c r="AT24" s="572"/>
      <c r="AU24" s="572"/>
      <c r="AV24" s="572"/>
      <c r="AW24" s="572"/>
      <c r="AX24" s="572"/>
      <c r="AY24" s="572"/>
      <c r="AZ24" s="572"/>
      <c r="BA24" s="572"/>
      <c r="BB24" s="572"/>
      <c r="BC24" s="572"/>
      <c r="BD24" s="572"/>
      <c r="BE24" s="572"/>
      <c r="BF24" s="572"/>
      <c r="BG24" s="572"/>
      <c r="BH24" s="572"/>
      <c r="BI24" s="572"/>
      <c r="BJ24" s="572"/>
      <c r="BK24" s="572"/>
      <c r="BL24" s="572"/>
      <c r="BM24" s="572"/>
      <c r="BN24" s="572"/>
      <c r="BO24" s="572"/>
      <c r="BP24" s="572"/>
      <c r="BQ24" s="572"/>
      <c r="BR24" s="572"/>
      <c r="BS24" s="572"/>
      <c r="BT24" s="572"/>
      <c r="BU24" s="572"/>
      <c r="BV24" s="572"/>
      <c r="BW24" s="572"/>
    </row>
    <row r="25" spans="1:75" x14ac:dyDescent="0.2">
      <c r="A25" s="688" t="str">
        <f>VLOOKUP(B25,'DADOS-Campanha'!$W$4:$X$29,2,FALSE)</f>
        <v>FORA PONTA</v>
      </c>
      <c r="B25" s="680">
        <f t="shared" si="0"/>
        <v>0.25</v>
      </c>
      <c r="C25" s="566" t="s">
        <v>358</v>
      </c>
      <c r="D25" s="569">
        <v>13</v>
      </c>
      <c r="E25" s="572">
        <f>'CT (CTR)'!G188</f>
        <v>0.99738859781250699</v>
      </c>
      <c r="F25" s="572">
        <f>'CT (CTR)'!H188</f>
        <v>0.15784983511718301</v>
      </c>
      <c r="G25" s="572">
        <f>'CT (CTR)'!I188</f>
        <v>2.2835868038574398</v>
      </c>
      <c r="H25" s="572">
        <f>'CT (CTR)'!J188</f>
        <v>1.9861154929609199</v>
      </c>
      <c r="I25" s="572">
        <f>'CT (CTR)'!K188</f>
        <v>0.688540722222866</v>
      </c>
      <c r="J25" s="572">
        <f>'CT (CTR)'!L188</f>
        <v>0.192625924917775</v>
      </c>
      <c r="K25" s="572">
        <f>'CT (CTR)'!M188</f>
        <v>0.39895543912500298</v>
      </c>
      <c r="L25" s="572">
        <f>'CT (CTR)'!N188</f>
        <v>0.47704004224603302</v>
      </c>
      <c r="M25" s="572">
        <f>'CT (CTR)'!O188</f>
        <v>0.56417418546387299</v>
      </c>
      <c r="N25" s="572">
        <f>'CT (CTR)'!P188</f>
        <v>0.20374393132242499</v>
      </c>
      <c r="O25" s="572">
        <f>'CT (CTR)'!Q188</f>
        <v>0.26450512911528001</v>
      </c>
      <c r="P25" s="572">
        <f>'CT (CTR)'!R188</f>
        <v>0.12553004905715401</v>
      </c>
      <c r="Q25" s="572">
        <f>'CT (CTR)'!S188</f>
        <v>0.14337057096229</v>
      </c>
      <c r="R25" s="572">
        <f>'CT (CTR)'!T188</f>
        <v>0</v>
      </c>
      <c r="S25" s="572">
        <f>'CT (CTR)'!U188</f>
        <v>0</v>
      </c>
      <c r="T25" s="572">
        <f>'CT (CTR)'!V188</f>
        <v>0</v>
      </c>
      <c r="U25" s="572">
        <f>'CT (CTR)'!W188</f>
        <v>0</v>
      </c>
      <c r="V25" s="572">
        <f>'CT (CTR)'!X188</f>
        <v>0</v>
      </c>
      <c r="W25" s="572">
        <f>'CT (CTR)'!Y188</f>
        <v>0</v>
      </c>
      <c r="X25" s="572">
        <f>'CT (CTR)'!Z188</f>
        <v>0</v>
      </c>
      <c r="Y25" s="572">
        <f>'CT (CTR)'!AA188</f>
        <v>0</v>
      </c>
      <c r="Z25" s="572">
        <f>'CT (CTR)'!AB188</f>
        <v>0</v>
      </c>
      <c r="AA25" s="572">
        <f>'CT (CTR)'!AC188</f>
        <v>0</v>
      </c>
      <c r="AB25" s="572">
        <f>'CT (CTR)'!AD188</f>
        <v>0</v>
      </c>
      <c r="AC25" s="572">
        <f>'CT (CTR)'!AE188</f>
        <v>0</v>
      </c>
      <c r="AD25" s="572"/>
      <c r="AE25" s="572"/>
      <c r="AF25" s="572"/>
      <c r="AG25" s="572"/>
      <c r="AH25" s="572"/>
      <c r="AI25" s="572"/>
      <c r="AJ25" s="572"/>
      <c r="AK25" s="572"/>
      <c r="AL25" s="572"/>
      <c r="AM25" s="572"/>
      <c r="AN25" s="572"/>
      <c r="AO25" s="572"/>
      <c r="AP25" s="572"/>
      <c r="AQ25" s="572"/>
      <c r="AR25" s="572"/>
      <c r="AS25" s="572"/>
      <c r="AT25" s="572"/>
      <c r="AU25" s="572"/>
      <c r="AV25" s="572"/>
      <c r="AW25" s="572"/>
      <c r="AX25" s="572"/>
      <c r="AY25" s="572"/>
      <c r="AZ25" s="572"/>
      <c r="BA25" s="572"/>
      <c r="BB25" s="572"/>
      <c r="BC25" s="572"/>
      <c r="BD25" s="572"/>
      <c r="BE25" s="572"/>
      <c r="BF25" s="572"/>
      <c r="BG25" s="572"/>
      <c r="BH25" s="572"/>
      <c r="BI25" s="572"/>
      <c r="BJ25" s="572"/>
      <c r="BK25" s="572"/>
      <c r="BL25" s="572"/>
      <c r="BM25" s="572"/>
      <c r="BN25" s="572"/>
      <c r="BO25" s="572"/>
      <c r="BP25" s="572"/>
      <c r="BQ25" s="572"/>
      <c r="BR25" s="572"/>
      <c r="BS25" s="572"/>
      <c r="BT25" s="572"/>
      <c r="BU25" s="572"/>
      <c r="BV25" s="572"/>
      <c r="BW25" s="572"/>
    </row>
    <row r="26" spans="1:75" x14ac:dyDescent="0.2">
      <c r="A26" s="688" t="str">
        <f>VLOOKUP(B26,'DADOS-Campanha'!$W$4:$X$29,2,FALSE)</f>
        <v>FORA PONTA</v>
      </c>
      <c r="B26" s="680">
        <f t="shared" si="0"/>
        <v>0.29166666666666669</v>
      </c>
      <c r="C26" s="566" t="s">
        <v>358</v>
      </c>
      <c r="D26" s="569">
        <v>14</v>
      </c>
      <c r="E26" s="572">
        <f>'CT (CTR)'!G189</f>
        <v>1.0847812993188299</v>
      </c>
      <c r="F26" s="572">
        <f>'CT (CTR)'!H189</f>
        <v>0.304064547252756</v>
      </c>
      <c r="G26" s="572">
        <f>'CT (CTR)'!I189</f>
        <v>1.37979630647477</v>
      </c>
      <c r="H26" s="572">
        <f>'CT (CTR)'!J189</f>
        <v>1.8194746760354099</v>
      </c>
      <c r="I26" s="572">
        <f>'CT (CTR)'!K189</f>
        <v>0.82350814880954804</v>
      </c>
      <c r="J26" s="572">
        <f>'CT (CTR)'!L189</f>
        <v>0.106396735709617</v>
      </c>
      <c r="K26" s="572">
        <f>'CT (CTR)'!M189</f>
        <v>0.51414315664294696</v>
      </c>
      <c r="L26" s="572">
        <f>'CT (CTR)'!N189</f>
        <v>0.29268798255962603</v>
      </c>
      <c r="M26" s="572">
        <f>'CT (CTR)'!O189</f>
        <v>0.48143553315019699</v>
      </c>
      <c r="N26" s="572">
        <f>'CT (CTR)'!P189</f>
        <v>0.25739477618207401</v>
      </c>
      <c r="O26" s="572">
        <f>'CT (CTR)'!Q189</f>
        <v>0.20451960618786599</v>
      </c>
      <c r="P26" s="572">
        <f>'CT (CTR)'!R189</f>
        <v>0.17426828643567799</v>
      </c>
      <c r="Q26" s="572">
        <f>'CT (CTR)'!S189</f>
        <v>0.134321030865482</v>
      </c>
      <c r="R26" s="572">
        <f>'CT (CTR)'!T189</f>
        <v>0</v>
      </c>
      <c r="S26" s="572">
        <f>'CT (CTR)'!U189</f>
        <v>0</v>
      </c>
      <c r="T26" s="572">
        <f>'CT (CTR)'!V189</f>
        <v>0</v>
      </c>
      <c r="U26" s="572">
        <f>'CT (CTR)'!W189</f>
        <v>0</v>
      </c>
      <c r="V26" s="572">
        <f>'CT (CTR)'!X189</f>
        <v>0</v>
      </c>
      <c r="W26" s="572">
        <f>'CT (CTR)'!Y189</f>
        <v>0</v>
      </c>
      <c r="X26" s="572">
        <f>'CT (CTR)'!Z189</f>
        <v>0</v>
      </c>
      <c r="Y26" s="572">
        <f>'CT (CTR)'!AA189</f>
        <v>0</v>
      </c>
      <c r="Z26" s="572">
        <f>'CT (CTR)'!AB189</f>
        <v>0</v>
      </c>
      <c r="AA26" s="572">
        <f>'CT (CTR)'!AC189</f>
        <v>0</v>
      </c>
      <c r="AB26" s="572">
        <f>'CT (CTR)'!AD189</f>
        <v>0</v>
      </c>
      <c r="AC26" s="572">
        <f>'CT (CTR)'!AE189</f>
        <v>0</v>
      </c>
      <c r="AD26" s="572"/>
      <c r="AE26" s="572"/>
      <c r="AF26" s="572"/>
      <c r="AG26" s="572"/>
      <c r="AH26" s="572"/>
      <c r="AI26" s="572"/>
      <c r="AJ26" s="572"/>
      <c r="AK26" s="572"/>
      <c r="AL26" s="572"/>
      <c r="AM26" s="572"/>
      <c r="AN26" s="572"/>
      <c r="AO26" s="572"/>
      <c r="AP26" s="572"/>
      <c r="AQ26" s="572"/>
      <c r="AR26" s="572"/>
      <c r="AS26" s="572"/>
      <c r="AT26" s="572"/>
      <c r="AU26" s="572"/>
      <c r="AV26" s="572"/>
      <c r="AW26" s="572"/>
      <c r="AX26" s="572"/>
      <c r="AY26" s="572"/>
      <c r="AZ26" s="572"/>
      <c r="BA26" s="572"/>
      <c r="BB26" s="572"/>
      <c r="BC26" s="572"/>
      <c r="BD26" s="572"/>
      <c r="BE26" s="572"/>
      <c r="BF26" s="572"/>
      <c r="BG26" s="572"/>
      <c r="BH26" s="572"/>
      <c r="BI26" s="572"/>
      <c r="BJ26" s="572"/>
      <c r="BK26" s="572"/>
      <c r="BL26" s="572"/>
      <c r="BM26" s="572"/>
      <c r="BN26" s="572"/>
      <c r="BO26" s="572"/>
      <c r="BP26" s="572"/>
      <c r="BQ26" s="572"/>
      <c r="BR26" s="572"/>
      <c r="BS26" s="572"/>
      <c r="BT26" s="572"/>
      <c r="BU26" s="572"/>
      <c r="BV26" s="572"/>
      <c r="BW26" s="572"/>
    </row>
    <row r="27" spans="1:75" x14ac:dyDescent="0.2">
      <c r="A27" s="688" t="str">
        <f>VLOOKUP(B27,'DADOS-Campanha'!$W$4:$X$29,2,FALSE)</f>
        <v>FORA PONTA</v>
      </c>
      <c r="B27" s="680">
        <f t="shared" si="0"/>
        <v>0.33333333333333331</v>
      </c>
      <c r="C27" s="566" t="s">
        <v>358</v>
      </c>
      <c r="D27" s="569">
        <v>15</v>
      </c>
      <c r="E27" s="572">
        <f>'CT (CTR)'!G190</f>
        <v>1.2428896927244899</v>
      </c>
      <c r="F27" s="572">
        <f>'CT (CTR)'!H190</f>
        <v>0.95511431764598698</v>
      </c>
      <c r="G27" s="572">
        <f>'CT (CTR)'!I190</f>
        <v>0.69578035430031204</v>
      </c>
      <c r="H27" s="572">
        <f>'CT (CTR)'!J190</f>
        <v>1.4413331791330699</v>
      </c>
      <c r="I27" s="572">
        <f>'CT (CTR)'!K190</f>
        <v>1.1040438918105999</v>
      </c>
      <c r="J27" s="572">
        <f>'CT (CTR)'!L190</f>
        <v>0.116221950671866</v>
      </c>
      <c r="K27" s="572">
        <f>'CT (CTR)'!M190</f>
        <v>0.40710002521213001</v>
      </c>
      <c r="L27" s="572">
        <f>'CT (CTR)'!N190</f>
        <v>0.22468715268932399</v>
      </c>
      <c r="M27" s="572">
        <f>'CT (CTR)'!O190</f>
        <v>0.43980764870487898</v>
      </c>
      <c r="N27" s="572">
        <f>'CT (CTR)'!P190</f>
        <v>0.19314304149473599</v>
      </c>
      <c r="O27" s="572">
        <f>'CT (CTR)'!Q190</f>
        <v>0.14711966614525401</v>
      </c>
      <c r="P27" s="572">
        <f>'CT (CTR)'!R190</f>
        <v>0.139880034067807</v>
      </c>
      <c r="Q27" s="572">
        <f>'CT (CTR)'!S190</f>
        <v>0.17607819445504</v>
      </c>
      <c r="R27" s="572">
        <f>'CT (CTR)'!T190</f>
        <v>0</v>
      </c>
      <c r="S27" s="572">
        <f>'CT (CTR)'!U190</f>
        <v>0</v>
      </c>
      <c r="T27" s="572">
        <f>'CT (CTR)'!V190</f>
        <v>0</v>
      </c>
      <c r="U27" s="572">
        <f>'CT (CTR)'!W190</f>
        <v>0</v>
      </c>
      <c r="V27" s="572">
        <f>'CT (CTR)'!X190</f>
        <v>0</v>
      </c>
      <c r="W27" s="572">
        <f>'CT (CTR)'!Y190</f>
        <v>0</v>
      </c>
      <c r="X27" s="572">
        <f>'CT (CTR)'!Z190</f>
        <v>0</v>
      </c>
      <c r="Y27" s="572">
        <f>'CT (CTR)'!AA190</f>
        <v>0</v>
      </c>
      <c r="Z27" s="572">
        <f>'CT (CTR)'!AB190</f>
        <v>0</v>
      </c>
      <c r="AA27" s="572">
        <f>'CT (CTR)'!AC190</f>
        <v>0</v>
      </c>
      <c r="AB27" s="572">
        <f>'CT (CTR)'!AD190</f>
        <v>0</v>
      </c>
      <c r="AC27" s="572">
        <f>'CT (CTR)'!AE190</f>
        <v>0</v>
      </c>
      <c r="AD27" s="572"/>
      <c r="AE27" s="572"/>
      <c r="AF27" s="572"/>
      <c r="AG27" s="572"/>
      <c r="AH27" s="572"/>
      <c r="AI27" s="572"/>
      <c r="AJ27" s="572"/>
      <c r="AK27" s="572"/>
      <c r="AL27" s="572"/>
      <c r="AM27" s="572"/>
      <c r="AN27" s="572"/>
      <c r="AO27" s="572"/>
      <c r="AP27" s="572"/>
      <c r="AQ27" s="572"/>
      <c r="AR27" s="572"/>
      <c r="AS27" s="572"/>
      <c r="AT27" s="572"/>
      <c r="AU27" s="572"/>
      <c r="AV27" s="572"/>
      <c r="AW27" s="572"/>
      <c r="AX27" s="572"/>
      <c r="AY27" s="572"/>
      <c r="AZ27" s="572"/>
      <c r="BA27" s="572"/>
      <c r="BB27" s="572"/>
      <c r="BC27" s="572"/>
      <c r="BD27" s="572"/>
      <c r="BE27" s="572"/>
      <c r="BF27" s="572"/>
      <c r="BG27" s="572"/>
      <c r="BH27" s="572"/>
      <c r="BI27" s="572"/>
      <c r="BJ27" s="572"/>
      <c r="BK27" s="572"/>
      <c r="BL27" s="572"/>
      <c r="BM27" s="572"/>
      <c r="BN27" s="572"/>
      <c r="BO27" s="572"/>
      <c r="BP27" s="572"/>
      <c r="BQ27" s="572"/>
      <c r="BR27" s="572"/>
      <c r="BS27" s="572"/>
      <c r="BT27" s="572"/>
      <c r="BU27" s="572"/>
      <c r="BV27" s="572"/>
      <c r="BW27" s="572"/>
    </row>
    <row r="28" spans="1:75" x14ac:dyDescent="0.2">
      <c r="A28" s="688" t="str">
        <f>VLOOKUP(B28,'DADOS-Campanha'!$W$4:$X$29,2,FALSE)</f>
        <v>FORA PONTA</v>
      </c>
      <c r="B28" s="680">
        <f t="shared" si="0"/>
        <v>0.375</v>
      </c>
      <c r="C28" s="566" t="s">
        <v>358</v>
      </c>
      <c r="D28" s="569">
        <v>16</v>
      </c>
      <c r="E28" s="572">
        <f>'CT (CTR)'!G191</f>
        <v>1.19738343395197</v>
      </c>
      <c r="F28" s="572">
        <f>'CT (CTR)'!H191</f>
        <v>1.20048613341373</v>
      </c>
      <c r="G28" s="572">
        <f>'CT (CTR)'!I191</f>
        <v>0.70832043129160405</v>
      </c>
      <c r="H28" s="572">
        <f>'CT (CTR)'!J191</f>
        <v>1.2582739108890599</v>
      </c>
      <c r="I28" s="572">
        <f>'CT (CTR)'!K191</f>
        <v>1.6430086441476499</v>
      </c>
      <c r="J28" s="572">
        <f>'CT (CTR)'!L191</f>
        <v>0.16237460516558799</v>
      </c>
      <c r="K28" s="572">
        <f>'CT (CTR)'!M191</f>
        <v>0.46579275669714298</v>
      </c>
      <c r="L28" s="572">
        <f>'CT (CTR)'!N191</f>
        <v>0.22158445322756101</v>
      </c>
      <c r="M28" s="572">
        <f>'CT (CTR)'!O191</f>
        <v>0.452218446551931</v>
      </c>
      <c r="N28" s="572">
        <f>'CT (CTR)'!P191</f>
        <v>0.26528080398072101</v>
      </c>
      <c r="O28" s="572">
        <f>'CT (CTR)'!Q191</f>
        <v>9.2434588131683995E-2</v>
      </c>
      <c r="P28" s="572">
        <f>'CT (CTR)'!R191</f>
        <v>0.13522598487516299</v>
      </c>
      <c r="Q28" s="572">
        <f>'CT (CTR)'!S191</f>
        <v>0.138199405192685</v>
      </c>
      <c r="R28" s="572">
        <f>'CT (CTR)'!T191</f>
        <v>0</v>
      </c>
      <c r="S28" s="572">
        <f>'CT (CTR)'!U191</f>
        <v>0</v>
      </c>
      <c r="T28" s="572">
        <f>'CT (CTR)'!V191</f>
        <v>0</v>
      </c>
      <c r="U28" s="572">
        <f>'CT (CTR)'!W191</f>
        <v>0</v>
      </c>
      <c r="V28" s="572">
        <f>'CT (CTR)'!X191</f>
        <v>0</v>
      </c>
      <c r="W28" s="572">
        <f>'CT (CTR)'!Y191</f>
        <v>0</v>
      </c>
      <c r="X28" s="572">
        <f>'CT (CTR)'!Z191</f>
        <v>0</v>
      </c>
      <c r="Y28" s="572">
        <f>'CT (CTR)'!AA191</f>
        <v>0</v>
      </c>
      <c r="Z28" s="572">
        <f>'CT (CTR)'!AB191</f>
        <v>0</v>
      </c>
      <c r="AA28" s="572">
        <f>'CT (CTR)'!AC191</f>
        <v>0</v>
      </c>
      <c r="AB28" s="572">
        <f>'CT (CTR)'!AD191</f>
        <v>0</v>
      </c>
      <c r="AC28" s="572">
        <f>'CT (CTR)'!AE191</f>
        <v>0</v>
      </c>
      <c r="AD28" s="572"/>
      <c r="AE28" s="572"/>
      <c r="AF28" s="572"/>
      <c r="AG28" s="572"/>
      <c r="AH28" s="572"/>
      <c r="AI28" s="572"/>
      <c r="AJ28" s="572"/>
      <c r="AK28" s="572"/>
      <c r="AL28" s="572"/>
      <c r="AM28" s="572"/>
      <c r="AN28" s="572"/>
      <c r="AO28" s="572"/>
      <c r="AP28" s="572"/>
      <c r="AQ28" s="572"/>
      <c r="AR28" s="572"/>
      <c r="AS28" s="572"/>
      <c r="AT28" s="572"/>
      <c r="AU28" s="572"/>
      <c r="AV28" s="572"/>
      <c r="AW28" s="572"/>
      <c r="AX28" s="572"/>
      <c r="AY28" s="572"/>
      <c r="AZ28" s="572"/>
      <c r="BA28" s="572"/>
      <c r="BB28" s="572"/>
      <c r="BC28" s="572"/>
      <c r="BD28" s="572"/>
      <c r="BE28" s="572"/>
      <c r="BF28" s="572"/>
      <c r="BG28" s="572"/>
      <c r="BH28" s="572"/>
      <c r="BI28" s="572"/>
      <c r="BJ28" s="572"/>
      <c r="BK28" s="572"/>
      <c r="BL28" s="572"/>
      <c r="BM28" s="572"/>
      <c r="BN28" s="572"/>
      <c r="BO28" s="572"/>
      <c r="BP28" s="572"/>
      <c r="BQ28" s="572"/>
      <c r="BR28" s="572"/>
      <c r="BS28" s="572"/>
      <c r="BT28" s="572"/>
      <c r="BU28" s="572"/>
      <c r="BV28" s="572"/>
      <c r="BW28" s="572"/>
    </row>
    <row r="29" spans="1:75" x14ac:dyDescent="0.2">
      <c r="A29" s="688" t="str">
        <f>VLOOKUP(B29,'DADOS-Campanha'!$W$4:$X$29,2,FALSE)</f>
        <v>FORA PONTA</v>
      </c>
      <c r="B29" s="680">
        <f t="shared" si="0"/>
        <v>0.41666666666666669</v>
      </c>
      <c r="C29" s="566" t="s">
        <v>358</v>
      </c>
      <c r="D29" s="569">
        <v>17</v>
      </c>
      <c r="E29" s="572">
        <f>'CT (CTR)'!G192</f>
        <v>1.2577567943121</v>
      </c>
      <c r="F29" s="572">
        <f>'CT (CTR)'!H192</f>
        <v>1.1006826340603599</v>
      </c>
      <c r="G29" s="572">
        <f>'CT (CTR)'!I192</f>
        <v>0.87392701506319403</v>
      </c>
      <c r="H29" s="572">
        <f>'CT (CTR)'!J192</f>
        <v>0.809804559520096</v>
      </c>
      <c r="I29" s="572">
        <f>'CT (CTR)'!K192</f>
        <v>2.3267660380336301</v>
      </c>
      <c r="J29" s="572">
        <f>'CT (CTR)'!L192</f>
        <v>0.27458890236601002</v>
      </c>
      <c r="K29" s="572">
        <f>'CT (CTR)'!M192</f>
        <v>0.48466751175620099</v>
      </c>
      <c r="L29" s="572">
        <f>'CT (CTR)'!N192</f>
        <v>0.19585790352377799</v>
      </c>
      <c r="M29" s="572">
        <f>'CT (CTR)'!O192</f>
        <v>0.202838977312744</v>
      </c>
      <c r="N29" s="572">
        <f>'CT (CTR)'!P192</f>
        <v>0.46023375349481799</v>
      </c>
      <c r="O29" s="572">
        <f>'CT (CTR)'!Q192</f>
        <v>0.10445754854601499</v>
      </c>
      <c r="P29" s="572">
        <f>'CT (CTR)'!R192</f>
        <v>0.153195785924539</v>
      </c>
      <c r="Q29" s="572">
        <f>'CT (CTR)'!S192</f>
        <v>0.13975075492356701</v>
      </c>
      <c r="R29" s="572">
        <f>'CT (CTR)'!T192</f>
        <v>0</v>
      </c>
      <c r="S29" s="572">
        <f>'CT (CTR)'!U192</f>
        <v>0</v>
      </c>
      <c r="T29" s="572">
        <f>'CT (CTR)'!V192</f>
        <v>0</v>
      </c>
      <c r="U29" s="572">
        <f>'CT (CTR)'!W192</f>
        <v>0</v>
      </c>
      <c r="V29" s="572">
        <f>'CT (CTR)'!X192</f>
        <v>0</v>
      </c>
      <c r="W29" s="572">
        <f>'CT (CTR)'!Y192</f>
        <v>0</v>
      </c>
      <c r="X29" s="572">
        <f>'CT (CTR)'!Z192</f>
        <v>0</v>
      </c>
      <c r="Y29" s="572">
        <f>'CT (CTR)'!AA192</f>
        <v>0</v>
      </c>
      <c r="Z29" s="572">
        <f>'CT (CTR)'!AB192</f>
        <v>0</v>
      </c>
      <c r="AA29" s="572">
        <f>'CT (CTR)'!AC192</f>
        <v>0</v>
      </c>
      <c r="AB29" s="572">
        <f>'CT (CTR)'!AD192</f>
        <v>0</v>
      </c>
      <c r="AC29" s="572">
        <f>'CT (CTR)'!AE192</f>
        <v>0</v>
      </c>
      <c r="AD29" s="572"/>
      <c r="AE29" s="572"/>
      <c r="AF29" s="572"/>
      <c r="AG29" s="572"/>
      <c r="AH29" s="572"/>
      <c r="AI29" s="572"/>
      <c r="AJ29" s="572"/>
      <c r="AK29" s="572"/>
      <c r="AL29" s="572"/>
      <c r="AM29" s="572"/>
      <c r="AN29" s="572"/>
      <c r="AO29" s="572"/>
      <c r="AP29" s="572"/>
      <c r="AQ29" s="572"/>
      <c r="AR29" s="572"/>
      <c r="AS29" s="572"/>
      <c r="AT29" s="572"/>
      <c r="AU29" s="572"/>
      <c r="AV29" s="572"/>
      <c r="AW29" s="572"/>
      <c r="AX29" s="572"/>
      <c r="AY29" s="572"/>
      <c r="AZ29" s="572"/>
      <c r="BA29" s="572"/>
      <c r="BB29" s="572"/>
      <c r="BC29" s="572"/>
      <c r="BD29" s="572"/>
      <c r="BE29" s="572"/>
      <c r="BF29" s="572"/>
      <c r="BG29" s="572"/>
      <c r="BH29" s="572"/>
      <c r="BI29" s="572"/>
      <c r="BJ29" s="572"/>
      <c r="BK29" s="572"/>
      <c r="BL29" s="572"/>
      <c r="BM29" s="572"/>
      <c r="BN29" s="572"/>
      <c r="BO29" s="572"/>
      <c r="BP29" s="572"/>
      <c r="BQ29" s="572"/>
      <c r="BR29" s="572"/>
      <c r="BS29" s="572"/>
      <c r="BT29" s="572"/>
      <c r="BU29" s="572"/>
      <c r="BV29" s="572"/>
      <c r="BW29" s="572"/>
    </row>
    <row r="30" spans="1:75" x14ac:dyDescent="0.2">
      <c r="A30" s="688" t="str">
        <f>VLOOKUP(B30,'DADOS-Campanha'!$W$4:$X$29,2,FALSE)</f>
        <v>FORA PONTA</v>
      </c>
      <c r="B30" s="680">
        <f t="shared" si="0"/>
        <v>0.45833333333333331</v>
      </c>
      <c r="C30" s="566" t="s">
        <v>358</v>
      </c>
      <c r="D30" s="569">
        <v>18</v>
      </c>
      <c r="E30" s="572">
        <f>'CT (CTR)'!G193</f>
        <v>1.35148417388619</v>
      </c>
      <c r="F30" s="572">
        <f>'CT (CTR)'!H193</f>
        <v>0.85324235198477505</v>
      </c>
      <c r="G30" s="572">
        <f>'CT (CTR)'!I193</f>
        <v>1.0951236308580401</v>
      </c>
      <c r="H30" s="572">
        <f>'CT (CTR)'!J193</f>
        <v>0.72111906657137503</v>
      </c>
      <c r="I30" s="572">
        <f>'CT (CTR)'!K193</f>
        <v>3.0436188928450898</v>
      </c>
      <c r="J30" s="572">
        <f>'CT (CTR)'!L193</f>
        <v>0.431663062617752</v>
      </c>
      <c r="K30" s="572">
        <f>'CT (CTR)'!M193</f>
        <v>0.42209640594398401</v>
      </c>
      <c r="L30" s="572">
        <f>'CT (CTR)'!N193</f>
        <v>0.27782088097201202</v>
      </c>
      <c r="M30" s="572">
        <f>'CT (CTR)'!O193</f>
        <v>0.23296101792069099</v>
      </c>
      <c r="N30" s="572">
        <f>'CT (CTR)'!P193</f>
        <v>0.58175614908052897</v>
      </c>
      <c r="O30" s="572">
        <f>'CT (CTR)'!Q193</f>
        <v>0.104974665122975</v>
      </c>
      <c r="P30" s="572">
        <f>'CT (CTR)'!R193</f>
        <v>0.15629848538630201</v>
      </c>
      <c r="Q30" s="572">
        <f>'CT (CTR)'!S193</f>
        <v>0.16560658377159099</v>
      </c>
      <c r="R30" s="572">
        <f>'CT (CTR)'!T193</f>
        <v>0</v>
      </c>
      <c r="S30" s="572">
        <f>'CT (CTR)'!U193</f>
        <v>0</v>
      </c>
      <c r="T30" s="572">
        <f>'CT (CTR)'!V193</f>
        <v>0</v>
      </c>
      <c r="U30" s="572">
        <f>'CT (CTR)'!W193</f>
        <v>0</v>
      </c>
      <c r="V30" s="572">
        <f>'CT (CTR)'!X193</f>
        <v>0</v>
      </c>
      <c r="W30" s="572">
        <f>'CT (CTR)'!Y193</f>
        <v>0</v>
      </c>
      <c r="X30" s="572">
        <f>'CT (CTR)'!Z193</f>
        <v>0</v>
      </c>
      <c r="Y30" s="572">
        <f>'CT (CTR)'!AA193</f>
        <v>0</v>
      </c>
      <c r="Z30" s="572">
        <f>'CT (CTR)'!AB193</f>
        <v>0</v>
      </c>
      <c r="AA30" s="572">
        <f>'CT (CTR)'!AC193</f>
        <v>0</v>
      </c>
      <c r="AB30" s="572">
        <f>'CT (CTR)'!AD193</f>
        <v>0</v>
      </c>
      <c r="AC30" s="572">
        <f>'CT (CTR)'!AE193</f>
        <v>0</v>
      </c>
      <c r="AD30" s="572"/>
      <c r="AE30" s="572"/>
      <c r="AF30" s="572"/>
      <c r="AG30" s="572"/>
      <c r="AH30" s="572"/>
      <c r="AI30" s="572"/>
      <c r="AJ30" s="572"/>
      <c r="AK30" s="572"/>
      <c r="AL30" s="572"/>
      <c r="AM30" s="572"/>
      <c r="AN30" s="572"/>
      <c r="AO30" s="572"/>
      <c r="AP30" s="572"/>
      <c r="AQ30" s="572"/>
      <c r="AR30" s="572"/>
      <c r="AS30" s="572"/>
      <c r="AT30" s="572"/>
      <c r="AU30" s="572"/>
      <c r="AV30" s="572"/>
      <c r="AW30" s="572"/>
      <c r="AX30" s="572"/>
      <c r="AY30" s="572"/>
      <c r="AZ30" s="572"/>
      <c r="BA30" s="572"/>
      <c r="BB30" s="572"/>
      <c r="BC30" s="572"/>
      <c r="BD30" s="572"/>
      <c r="BE30" s="572"/>
      <c r="BF30" s="572"/>
      <c r="BG30" s="572"/>
      <c r="BH30" s="572"/>
      <c r="BI30" s="572"/>
      <c r="BJ30" s="572"/>
      <c r="BK30" s="572"/>
      <c r="BL30" s="572"/>
      <c r="BM30" s="572"/>
      <c r="BN30" s="572"/>
      <c r="BO30" s="572"/>
      <c r="BP30" s="572"/>
      <c r="BQ30" s="572"/>
      <c r="BR30" s="572"/>
      <c r="BS30" s="572"/>
      <c r="BT30" s="572"/>
      <c r="BU30" s="572"/>
      <c r="BV30" s="572"/>
      <c r="BW30" s="572"/>
    </row>
    <row r="31" spans="1:75" x14ac:dyDescent="0.2">
      <c r="A31" s="688" t="str">
        <f>VLOOKUP(B31,'DADOS-Campanha'!$W$4:$X$29,2,FALSE)</f>
        <v>FORA PONTA</v>
      </c>
      <c r="B31" s="680">
        <f t="shared" si="0"/>
        <v>0.5</v>
      </c>
      <c r="C31" s="566" t="s">
        <v>358</v>
      </c>
      <c r="D31" s="569">
        <v>19</v>
      </c>
      <c r="E31" s="572">
        <f>'CT (CTR)'!G194</f>
        <v>1.39595619950479</v>
      </c>
      <c r="F31" s="572">
        <f>'CT (CTR)'!H194</f>
        <v>0.47238599305338902</v>
      </c>
      <c r="G31" s="572">
        <f>'CT (CTR)'!I194</f>
        <v>2.0625194672068301</v>
      </c>
      <c r="H31" s="572">
        <f>'CT (CTR)'!J194</f>
        <v>0.89008690809320901</v>
      </c>
      <c r="I31" s="572">
        <f>'CT (CTR)'!K194</f>
        <v>3.34651992779968</v>
      </c>
      <c r="J31" s="572">
        <f>'CT (CTR)'!L194</f>
        <v>0.59209848061973802</v>
      </c>
      <c r="K31" s="572">
        <f>'CT (CTR)'!M194</f>
        <v>0.64794707093146897</v>
      </c>
      <c r="L31" s="572">
        <f>'CT (CTR)'!N194</f>
        <v>0.238649300267257</v>
      </c>
      <c r="M31" s="572">
        <f>'CT (CTR)'!O194</f>
        <v>0.25429207672031101</v>
      </c>
      <c r="N31" s="572">
        <f>'CT (CTR)'!P194</f>
        <v>0.69500467943487099</v>
      </c>
      <c r="O31" s="572">
        <f>'CT (CTR)'!Q194</f>
        <v>9.1271075833522897E-2</v>
      </c>
      <c r="P31" s="572">
        <f>'CT (CTR)'!R194</f>
        <v>0.169743516387274</v>
      </c>
      <c r="Q31" s="572">
        <f>'CT (CTR)'!S194</f>
        <v>0.161081813723187</v>
      </c>
      <c r="R31" s="572">
        <f>'CT (CTR)'!T194</f>
        <v>0</v>
      </c>
      <c r="S31" s="572">
        <f>'CT (CTR)'!U194</f>
        <v>0</v>
      </c>
      <c r="T31" s="572">
        <f>'CT (CTR)'!V194</f>
        <v>0</v>
      </c>
      <c r="U31" s="572">
        <f>'CT (CTR)'!W194</f>
        <v>0</v>
      </c>
      <c r="V31" s="572">
        <f>'CT (CTR)'!X194</f>
        <v>0</v>
      </c>
      <c r="W31" s="572">
        <f>'CT (CTR)'!Y194</f>
        <v>0</v>
      </c>
      <c r="X31" s="572">
        <f>'CT (CTR)'!Z194</f>
        <v>0</v>
      </c>
      <c r="Y31" s="572">
        <f>'CT (CTR)'!AA194</f>
        <v>0</v>
      </c>
      <c r="Z31" s="572">
        <f>'CT (CTR)'!AB194</f>
        <v>0</v>
      </c>
      <c r="AA31" s="572">
        <f>'CT (CTR)'!AC194</f>
        <v>0</v>
      </c>
      <c r="AB31" s="572">
        <f>'CT (CTR)'!AD194</f>
        <v>0</v>
      </c>
      <c r="AC31" s="572">
        <f>'CT (CTR)'!AE194</f>
        <v>0</v>
      </c>
      <c r="AD31" s="572"/>
      <c r="AE31" s="572"/>
      <c r="AF31" s="572"/>
      <c r="AG31" s="572"/>
      <c r="AH31" s="572"/>
      <c r="AI31" s="572"/>
      <c r="AJ31" s="572"/>
      <c r="AK31" s="572"/>
      <c r="AL31" s="572"/>
      <c r="AM31" s="572"/>
      <c r="AN31" s="572"/>
      <c r="AO31" s="572"/>
      <c r="AP31" s="572"/>
      <c r="AQ31" s="572"/>
      <c r="AR31" s="572"/>
      <c r="AS31" s="572"/>
      <c r="AT31" s="572"/>
      <c r="AU31" s="572"/>
      <c r="AV31" s="572"/>
      <c r="AW31" s="572"/>
      <c r="AX31" s="572"/>
      <c r="AY31" s="572"/>
      <c r="AZ31" s="572"/>
      <c r="BA31" s="572"/>
      <c r="BB31" s="572"/>
      <c r="BC31" s="572"/>
      <c r="BD31" s="572"/>
      <c r="BE31" s="572"/>
      <c r="BF31" s="572"/>
      <c r="BG31" s="572"/>
      <c r="BH31" s="572"/>
      <c r="BI31" s="572"/>
      <c r="BJ31" s="572"/>
      <c r="BK31" s="572"/>
      <c r="BL31" s="572"/>
      <c r="BM31" s="572"/>
      <c r="BN31" s="572"/>
      <c r="BO31" s="572"/>
      <c r="BP31" s="572"/>
      <c r="BQ31" s="572"/>
      <c r="BR31" s="572"/>
      <c r="BS31" s="572"/>
      <c r="BT31" s="572"/>
      <c r="BU31" s="572"/>
      <c r="BV31" s="572"/>
      <c r="BW31" s="572"/>
    </row>
    <row r="32" spans="1:75" x14ac:dyDescent="0.2">
      <c r="A32" s="688" t="str">
        <f>VLOOKUP(B32,'DADOS-Campanha'!$W$4:$X$29,2,FALSE)</f>
        <v>FORA PONTA</v>
      </c>
      <c r="B32" s="680">
        <f t="shared" si="0"/>
        <v>0.54166666666666663</v>
      </c>
      <c r="C32" s="566" t="s">
        <v>358</v>
      </c>
      <c r="D32" s="569">
        <v>20</v>
      </c>
      <c r="E32" s="572">
        <f>'CT (CTR)'!G195</f>
        <v>1.4108233010924001</v>
      </c>
      <c r="F32" s="572">
        <f>'CT (CTR)'!H195</f>
        <v>0.75499020236228698</v>
      </c>
      <c r="G32" s="572">
        <f>'CT (CTR)'!I195</f>
        <v>1.08038580841466</v>
      </c>
      <c r="H32" s="572">
        <f>'CT (CTR)'!J195</f>
        <v>0.69241909655006895</v>
      </c>
      <c r="I32" s="572">
        <f>'CT (CTR)'!K195</f>
        <v>1.46874035771198</v>
      </c>
      <c r="J32" s="572">
        <f>'CT (CTR)'!L195</f>
        <v>0.56313995230995195</v>
      </c>
      <c r="K32" s="572">
        <f>'CT (CTR)'!M195</f>
        <v>0.58007552020540698</v>
      </c>
      <c r="L32" s="572">
        <f>'CT (CTR)'!N195</f>
        <v>0.229211922737728</v>
      </c>
      <c r="M32" s="572">
        <f>'CT (CTR)'!O195</f>
        <v>0.23916641684421799</v>
      </c>
      <c r="N32" s="572">
        <f>'CT (CTR)'!P195</f>
        <v>0.70702763984920103</v>
      </c>
      <c r="O32" s="572">
        <f>'CT (CTR)'!Q195</f>
        <v>9.3598100429844996E-2</v>
      </c>
      <c r="P32" s="572">
        <f>'CT (CTR)'!R195</f>
        <v>0.16327955917526901</v>
      </c>
      <c r="Q32" s="572">
        <f>'CT (CTR)'!S195</f>
        <v>0.16198676773286799</v>
      </c>
      <c r="R32" s="572">
        <f>'CT (CTR)'!T195</f>
        <v>0</v>
      </c>
      <c r="S32" s="572">
        <f>'CT (CTR)'!U195</f>
        <v>0</v>
      </c>
      <c r="T32" s="572">
        <f>'CT (CTR)'!V195</f>
        <v>0</v>
      </c>
      <c r="U32" s="572">
        <f>'CT (CTR)'!W195</f>
        <v>0</v>
      </c>
      <c r="V32" s="572">
        <f>'CT (CTR)'!X195</f>
        <v>0</v>
      </c>
      <c r="W32" s="572">
        <f>'CT (CTR)'!Y195</f>
        <v>0</v>
      </c>
      <c r="X32" s="572">
        <f>'CT (CTR)'!Z195</f>
        <v>0</v>
      </c>
      <c r="Y32" s="572">
        <f>'CT (CTR)'!AA195</f>
        <v>0</v>
      </c>
      <c r="Z32" s="572">
        <f>'CT (CTR)'!AB195</f>
        <v>0</v>
      </c>
      <c r="AA32" s="572">
        <f>'CT (CTR)'!AC195</f>
        <v>0</v>
      </c>
      <c r="AB32" s="572">
        <f>'CT (CTR)'!AD195</f>
        <v>0</v>
      </c>
      <c r="AC32" s="572">
        <f>'CT (CTR)'!AE195</f>
        <v>0</v>
      </c>
      <c r="AD32" s="572"/>
      <c r="AE32" s="572"/>
      <c r="AF32" s="572"/>
      <c r="AG32" s="572"/>
      <c r="AH32" s="572"/>
      <c r="AI32" s="572"/>
      <c r="AJ32" s="572"/>
      <c r="AK32" s="572"/>
      <c r="AL32" s="572"/>
      <c r="AM32" s="572"/>
      <c r="AN32" s="572"/>
      <c r="AO32" s="572"/>
      <c r="AP32" s="572"/>
      <c r="AQ32" s="572"/>
      <c r="AR32" s="572"/>
      <c r="AS32" s="572"/>
      <c r="AT32" s="572"/>
      <c r="AU32" s="572"/>
      <c r="AV32" s="572"/>
      <c r="AW32" s="572"/>
      <c r="AX32" s="572"/>
      <c r="AY32" s="572"/>
      <c r="AZ32" s="572"/>
      <c r="BA32" s="572"/>
      <c r="BB32" s="572"/>
      <c r="BC32" s="572"/>
      <c r="BD32" s="572"/>
      <c r="BE32" s="572"/>
      <c r="BF32" s="572"/>
      <c r="BG32" s="572"/>
      <c r="BH32" s="572"/>
      <c r="BI32" s="572"/>
      <c r="BJ32" s="572"/>
      <c r="BK32" s="572"/>
      <c r="BL32" s="572"/>
      <c r="BM32" s="572"/>
      <c r="BN32" s="572"/>
      <c r="BO32" s="572"/>
      <c r="BP32" s="572"/>
      <c r="BQ32" s="572"/>
      <c r="BR32" s="572"/>
      <c r="BS32" s="572"/>
      <c r="BT32" s="572"/>
      <c r="BU32" s="572"/>
      <c r="BV32" s="572"/>
      <c r="BW32" s="572"/>
    </row>
    <row r="33" spans="1:75" x14ac:dyDescent="0.2">
      <c r="A33" s="688" t="str">
        <f>VLOOKUP(B33,'DADOS-Campanha'!$W$4:$X$29,2,FALSE)</f>
        <v>FORA PONTA</v>
      </c>
      <c r="B33" s="680">
        <f t="shared" si="0"/>
        <v>0.58333333333333337</v>
      </c>
      <c r="C33" s="566" t="s">
        <v>358</v>
      </c>
      <c r="D33" s="569">
        <v>21</v>
      </c>
      <c r="E33" s="572">
        <f>'CT (CTR)'!G196</f>
        <v>1.51230742932089</v>
      </c>
      <c r="F33" s="572">
        <f>'CT (CTR)'!H196</f>
        <v>1.5213569694177</v>
      </c>
      <c r="G33" s="572">
        <f>'CT (CTR)'!I196</f>
        <v>1.38638954283102</v>
      </c>
      <c r="H33" s="572">
        <f>'CT (CTR)'!J196</f>
        <v>0.58369533624412995</v>
      </c>
      <c r="I33" s="572">
        <f>'CT (CTR)'!K196</f>
        <v>1.2679698467070699</v>
      </c>
      <c r="J33" s="572">
        <f>'CT (CTR)'!L196</f>
        <v>0.45945807862937799</v>
      </c>
      <c r="K33" s="572">
        <f>'CT (CTR)'!M196</f>
        <v>0.53624989030800696</v>
      </c>
      <c r="L33" s="572">
        <f>'CT (CTR)'!N196</f>
        <v>0.23412453021885299</v>
      </c>
      <c r="M33" s="572">
        <f>'CT (CTR)'!O196</f>
        <v>0.19753853239889901</v>
      </c>
      <c r="N33" s="572">
        <f>'CT (CTR)'!P196</f>
        <v>0.355259088371843</v>
      </c>
      <c r="O33" s="572">
        <f>'CT (CTR)'!Q196</f>
        <v>9.0753959256562405E-2</v>
      </c>
      <c r="P33" s="572">
        <f>'CT (CTR)'!R196</f>
        <v>0.40761714178908998</v>
      </c>
      <c r="Q33" s="572">
        <f>'CT (CTR)'!S196</f>
        <v>0.16043541800198599</v>
      </c>
      <c r="R33" s="572">
        <f>'CT (CTR)'!T196</f>
        <v>0</v>
      </c>
      <c r="S33" s="572">
        <f>'CT (CTR)'!U196</f>
        <v>0</v>
      </c>
      <c r="T33" s="572">
        <f>'CT (CTR)'!V196</f>
        <v>0</v>
      </c>
      <c r="U33" s="572">
        <f>'CT (CTR)'!W196</f>
        <v>0</v>
      </c>
      <c r="V33" s="572">
        <f>'CT (CTR)'!X196</f>
        <v>0</v>
      </c>
      <c r="W33" s="572">
        <f>'CT (CTR)'!Y196</f>
        <v>0</v>
      </c>
      <c r="X33" s="572">
        <f>'CT (CTR)'!Z196</f>
        <v>0</v>
      </c>
      <c r="Y33" s="572">
        <f>'CT (CTR)'!AA196</f>
        <v>0</v>
      </c>
      <c r="Z33" s="572">
        <f>'CT (CTR)'!AB196</f>
        <v>0</v>
      </c>
      <c r="AA33" s="572">
        <f>'CT (CTR)'!AC196</f>
        <v>0</v>
      </c>
      <c r="AB33" s="572">
        <f>'CT (CTR)'!AD196</f>
        <v>0</v>
      </c>
      <c r="AC33" s="572">
        <f>'CT (CTR)'!AE196</f>
        <v>0</v>
      </c>
      <c r="AD33" s="572"/>
      <c r="AE33" s="572"/>
      <c r="AF33" s="572"/>
      <c r="AG33" s="572"/>
      <c r="AH33" s="572"/>
      <c r="AI33" s="572"/>
      <c r="AJ33" s="572"/>
      <c r="AK33" s="572"/>
      <c r="AL33" s="572"/>
      <c r="AM33" s="572"/>
      <c r="AN33" s="572"/>
      <c r="AO33" s="572"/>
      <c r="AP33" s="572"/>
      <c r="AQ33" s="572"/>
      <c r="AR33" s="572"/>
      <c r="AS33" s="572"/>
      <c r="AT33" s="572"/>
      <c r="AU33" s="572"/>
      <c r="AV33" s="572"/>
      <c r="AW33" s="572"/>
      <c r="AX33" s="572"/>
      <c r="AY33" s="572"/>
      <c r="AZ33" s="572"/>
      <c r="BA33" s="572"/>
      <c r="BB33" s="572"/>
      <c r="BC33" s="572"/>
      <c r="BD33" s="572"/>
      <c r="BE33" s="572"/>
      <c r="BF33" s="572"/>
      <c r="BG33" s="572"/>
      <c r="BH33" s="572"/>
      <c r="BI33" s="572"/>
      <c r="BJ33" s="572"/>
      <c r="BK33" s="572"/>
      <c r="BL33" s="572"/>
      <c r="BM33" s="572"/>
      <c r="BN33" s="572"/>
      <c r="BO33" s="572"/>
      <c r="BP33" s="572"/>
      <c r="BQ33" s="572"/>
      <c r="BR33" s="572"/>
      <c r="BS33" s="572"/>
      <c r="BT33" s="572"/>
      <c r="BU33" s="572"/>
      <c r="BV33" s="572"/>
      <c r="BW33" s="572"/>
    </row>
    <row r="34" spans="1:75" x14ac:dyDescent="0.2">
      <c r="A34" s="688" t="str">
        <f>VLOOKUP(B34,'DADOS-Campanha'!$W$4:$X$29,2,FALSE)</f>
        <v>FORA PONTA</v>
      </c>
      <c r="B34" s="680">
        <f t="shared" si="0"/>
        <v>0.625</v>
      </c>
      <c r="C34" s="566" t="s">
        <v>358</v>
      </c>
      <c r="D34" s="569">
        <v>22</v>
      </c>
      <c r="E34" s="572">
        <f>'CT (CTR)'!G197</f>
        <v>1.5260110186103499</v>
      </c>
      <c r="F34" s="572">
        <f>'CT (CTR)'!H197</f>
        <v>2.0268384233965602</v>
      </c>
      <c r="G34" s="572">
        <f>'CT (CTR)'!I197</f>
        <v>0.96248322886767501</v>
      </c>
      <c r="H34" s="572">
        <f>'CT (CTR)'!J197</f>
        <v>0.71142313075336705</v>
      </c>
      <c r="I34" s="572">
        <f>'CT (CTR)'!K197</f>
        <v>1.31347610547959</v>
      </c>
      <c r="J34" s="572">
        <f>'CT (CTR)'!L197</f>
        <v>0.25248216870094897</v>
      </c>
      <c r="K34" s="572">
        <f>'CT (CTR)'!M197</f>
        <v>0.65104977039323197</v>
      </c>
      <c r="L34" s="572">
        <f>'CT (CTR)'!N197</f>
        <v>0.21964526606396001</v>
      </c>
      <c r="M34" s="572">
        <f>'CT (CTR)'!O197</f>
        <v>0.23813218369029701</v>
      </c>
      <c r="N34" s="572">
        <f>'CT (CTR)'!P197</f>
        <v>0.269417736596405</v>
      </c>
      <c r="O34" s="572">
        <f>'CT (CTR)'!Q197</f>
        <v>0.107948085440498</v>
      </c>
      <c r="P34" s="572">
        <f>'CT (CTR)'!R197</f>
        <v>0.45519186686945301</v>
      </c>
      <c r="Q34" s="572">
        <f>'CT (CTR)'!S197</f>
        <v>0.174139007291438</v>
      </c>
      <c r="R34" s="572">
        <f>'CT (CTR)'!T197</f>
        <v>0</v>
      </c>
      <c r="S34" s="572">
        <f>'CT (CTR)'!U197</f>
        <v>0</v>
      </c>
      <c r="T34" s="572">
        <f>'CT (CTR)'!V197</f>
        <v>0</v>
      </c>
      <c r="U34" s="572">
        <f>'CT (CTR)'!W197</f>
        <v>0</v>
      </c>
      <c r="V34" s="572">
        <f>'CT (CTR)'!X197</f>
        <v>0</v>
      </c>
      <c r="W34" s="572">
        <f>'CT (CTR)'!Y197</f>
        <v>0</v>
      </c>
      <c r="X34" s="572">
        <f>'CT (CTR)'!Z197</f>
        <v>0</v>
      </c>
      <c r="Y34" s="572">
        <f>'CT (CTR)'!AA197</f>
        <v>0</v>
      </c>
      <c r="Z34" s="572">
        <f>'CT (CTR)'!AB197</f>
        <v>0</v>
      </c>
      <c r="AA34" s="572">
        <f>'CT (CTR)'!AC197</f>
        <v>0</v>
      </c>
      <c r="AB34" s="572">
        <f>'CT (CTR)'!AD197</f>
        <v>0</v>
      </c>
      <c r="AC34" s="572">
        <f>'CT (CTR)'!AE197</f>
        <v>0</v>
      </c>
      <c r="AD34" s="572"/>
      <c r="AE34" s="572"/>
      <c r="AF34" s="572"/>
      <c r="AG34" s="572"/>
      <c r="AH34" s="572"/>
      <c r="AI34" s="572"/>
      <c r="AJ34" s="572"/>
      <c r="AK34" s="572"/>
      <c r="AL34" s="572"/>
      <c r="AM34" s="572"/>
      <c r="AN34" s="572"/>
      <c r="AO34" s="572"/>
      <c r="AP34" s="572"/>
      <c r="AQ34" s="572"/>
      <c r="AR34" s="572"/>
      <c r="AS34" s="572"/>
      <c r="AT34" s="572"/>
      <c r="AU34" s="572"/>
      <c r="AV34" s="572"/>
      <c r="AW34" s="572"/>
      <c r="AX34" s="572"/>
      <c r="AY34" s="572"/>
      <c r="AZ34" s="572"/>
      <c r="BA34" s="572"/>
      <c r="BB34" s="572"/>
      <c r="BC34" s="572"/>
      <c r="BD34" s="572"/>
      <c r="BE34" s="572"/>
      <c r="BF34" s="572"/>
      <c r="BG34" s="572"/>
      <c r="BH34" s="572"/>
      <c r="BI34" s="572"/>
      <c r="BJ34" s="572"/>
      <c r="BK34" s="572"/>
      <c r="BL34" s="572"/>
      <c r="BM34" s="572"/>
      <c r="BN34" s="572"/>
      <c r="BO34" s="572"/>
      <c r="BP34" s="572"/>
      <c r="BQ34" s="572"/>
      <c r="BR34" s="572"/>
      <c r="BS34" s="572"/>
      <c r="BT34" s="572"/>
      <c r="BU34" s="572"/>
      <c r="BV34" s="572"/>
      <c r="BW34" s="572"/>
    </row>
    <row r="35" spans="1:75" x14ac:dyDescent="0.2">
      <c r="A35" s="688" t="str">
        <f>VLOOKUP(B35,'DADOS-Campanha'!$W$4:$X$29,2,FALSE)</f>
        <v>FORA PONTA</v>
      </c>
      <c r="B35" s="680">
        <f t="shared" si="0"/>
        <v>0.66666666666666663</v>
      </c>
      <c r="C35" s="566" t="s">
        <v>358</v>
      </c>
      <c r="D35" s="569">
        <v>23</v>
      </c>
      <c r="E35" s="572">
        <f>'CT (CTR)'!G198</f>
        <v>1.6214190270595501</v>
      </c>
      <c r="F35" s="572">
        <f>'CT (CTR)'!H198</f>
        <v>1.61909200246323</v>
      </c>
      <c r="G35" s="572">
        <f>'CT (CTR)'!I198</f>
        <v>1.07780022552986</v>
      </c>
      <c r="H35" s="572">
        <f>'CT (CTR)'!J198</f>
        <v>0.64549076719090603</v>
      </c>
      <c r="I35" s="572">
        <f>'CT (CTR)'!K198</f>
        <v>1.30403872795007</v>
      </c>
      <c r="J35" s="572">
        <f>'CT (CTR)'!L198</f>
        <v>0.239812812565418</v>
      </c>
      <c r="K35" s="572">
        <f>'CT (CTR)'!M198</f>
        <v>0.75861001840100895</v>
      </c>
      <c r="L35" s="572">
        <f>'CT (CTR)'!N198</f>
        <v>0.43579999523343599</v>
      </c>
      <c r="M35" s="572">
        <f>'CT (CTR)'!O198</f>
        <v>0.243432628604142</v>
      </c>
      <c r="N35" s="572">
        <f>'CT (CTR)'!P198</f>
        <v>0.34879513115983701</v>
      </c>
      <c r="O35" s="572">
        <f>'CT (CTR)'!Q198</f>
        <v>8.3643606323356004E-2</v>
      </c>
      <c r="P35" s="572">
        <f>'CT (CTR)'!R198</f>
        <v>0.48440895346772</v>
      </c>
      <c r="Q35" s="572">
        <f>'CT (CTR)'!S198</f>
        <v>0.15151515704941801</v>
      </c>
      <c r="R35" s="572">
        <f>'CT (CTR)'!T198</f>
        <v>0</v>
      </c>
      <c r="S35" s="572">
        <f>'CT (CTR)'!U198</f>
        <v>0</v>
      </c>
      <c r="T35" s="572">
        <f>'CT (CTR)'!V198</f>
        <v>0</v>
      </c>
      <c r="U35" s="572">
        <f>'CT (CTR)'!W198</f>
        <v>0</v>
      </c>
      <c r="V35" s="572">
        <f>'CT (CTR)'!X198</f>
        <v>0</v>
      </c>
      <c r="W35" s="572">
        <f>'CT (CTR)'!Y198</f>
        <v>0</v>
      </c>
      <c r="X35" s="572">
        <f>'CT (CTR)'!Z198</f>
        <v>0</v>
      </c>
      <c r="Y35" s="572">
        <f>'CT (CTR)'!AA198</f>
        <v>0</v>
      </c>
      <c r="Z35" s="572">
        <f>'CT (CTR)'!AB198</f>
        <v>0</v>
      </c>
      <c r="AA35" s="572">
        <f>'CT (CTR)'!AC198</f>
        <v>0</v>
      </c>
      <c r="AB35" s="572">
        <f>'CT (CTR)'!AD198</f>
        <v>0</v>
      </c>
      <c r="AC35" s="572">
        <f>'CT (CTR)'!AE198</f>
        <v>0</v>
      </c>
      <c r="AD35" s="572"/>
      <c r="AE35" s="572"/>
      <c r="AF35" s="572"/>
      <c r="AG35" s="572"/>
      <c r="AH35" s="572"/>
      <c r="AI35" s="572"/>
      <c r="AJ35" s="572"/>
      <c r="AK35" s="572"/>
      <c r="AL35" s="572"/>
      <c r="AM35" s="572"/>
      <c r="AN35" s="572"/>
      <c r="AO35" s="572"/>
      <c r="AP35" s="572"/>
      <c r="AQ35" s="572"/>
      <c r="AR35" s="572"/>
      <c r="AS35" s="572"/>
      <c r="AT35" s="572"/>
      <c r="AU35" s="572"/>
      <c r="AV35" s="572"/>
      <c r="AW35" s="572"/>
      <c r="AX35" s="572"/>
      <c r="AY35" s="572"/>
      <c r="AZ35" s="572"/>
      <c r="BA35" s="572"/>
      <c r="BB35" s="572"/>
      <c r="BC35" s="572"/>
      <c r="BD35" s="572"/>
      <c r="BE35" s="572"/>
      <c r="BF35" s="572"/>
      <c r="BG35" s="572"/>
      <c r="BH35" s="572"/>
      <c r="BI35" s="572"/>
      <c r="BJ35" s="572"/>
      <c r="BK35" s="572"/>
      <c r="BL35" s="572"/>
      <c r="BM35" s="572"/>
      <c r="BN35" s="572"/>
      <c r="BO35" s="572"/>
      <c r="BP35" s="572"/>
      <c r="BQ35" s="572"/>
      <c r="BR35" s="572"/>
      <c r="BS35" s="572"/>
      <c r="BT35" s="572"/>
      <c r="BU35" s="572"/>
      <c r="BV35" s="572"/>
      <c r="BW35" s="572"/>
    </row>
    <row r="36" spans="1:75" x14ac:dyDescent="0.2">
      <c r="A36" s="692" t="str">
        <f>VLOOKUP(B36,'DADOS-Campanha'!$W$4:$X$29,2,FALSE)</f>
        <v>INTERMED</v>
      </c>
      <c r="B36" s="680">
        <f t="shared" si="0"/>
        <v>0.70833333333333337</v>
      </c>
      <c r="C36" s="566" t="s">
        <v>358</v>
      </c>
      <c r="D36" s="569">
        <v>24</v>
      </c>
      <c r="E36" s="572">
        <f>'CT (CTR)'!G199</f>
        <v>2.05799469715843</v>
      </c>
      <c r="F36" s="572">
        <f>'CT (CTR)'!H199</f>
        <v>1.4315079641708199</v>
      </c>
      <c r="G36" s="572">
        <f>'CT (CTR)'!I199</f>
        <v>2.2215328146221802</v>
      </c>
      <c r="H36" s="572">
        <f>'CT (CTR)'!J199</f>
        <v>1.03048405873798</v>
      </c>
      <c r="I36" s="572">
        <f>'CT (CTR)'!K199</f>
        <v>2.0781622436598801</v>
      </c>
      <c r="J36" s="572">
        <f>'CT (CTR)'!L199</f>
        <v>0.16043541800198599</v>
      </c>
      <c r="K36" s="572">
        <f>'CT (CTR)'!M199</f>
        <v>0.75408524835260504</v>
      </c>
      <c r="L36" s="572">
        <f>'CT (CTR)'!N199</f>
        <v>0.43605855352191603</v>
      </c>
      <c r="M36" s="572">
        <f>'CT (CTR)'!O199</f>
        <v>0.29087807454026399</v>
      </c>
      <c r="N36" s="572">
        <f>'CT (CTR)'!P199</f>
        <v>0.25558486816271198</v>
      </c>
      <c r="O36" s="572">
        <f>'CT (CTR)'!Q199</f>
        <v>0.12514221162443301</v>
      </c>
      <c r="P36" s="572">
        <f>'CT (CTR)'!R199</f>
        <v>0.30238391837763501</v>
      </c>
      <c r="Q36" s="572">
        <f>'CT (CTR)'!S199</f>
        <v>0.151644436193658</v>
      </c>
      <c r="R36" s="572">
        <f>'CT (CTR)'!T199</f>
        <v>0</v>
      </c>
      <c r="S36" s="572">
        <f>'CT (CTR)'!U199</f>
        <v>0</v>
      </c>
      <c r="T36" s="572">
        <f>'CT (CTR)'!V199</f>
        <v>0</v>
      </c>
      <c r="U36" s="572">
        <f>'CT (CTR)'!W199</f>
        <v>0</v>
      </c>
      <c r="V36" s="572">
        <f>'CT (CTR)'!X199</f>
        <v>0</v>
      </c>
      <c r="W36" s="572">
        <f>'CT (CTR)'!Y199</f>
        <v>0</v>
      </c>
      <c r="X36" s="572">
        <f>'CT (CTR)'!Z199</f>
        <v>0</v>
      </c>
      <c r="Y36" s="572">
        <f>'CT (CTR)'!AA199</f>
        <v>0</v>
      </c>
      <c r="Z36" s="572">
        <f>'CT (CTR)'!AB199</f>
        <v>0</v>
      </c>
      <c r="AA36" s="572">
        <f>'CT (CTR)'!AC199</f>
        <v>0</v>
      </c>
      <c r="AB36" s="572">
        <f>'CT (CTR)'!AD199</f>
        <v>0</v>
      </c>
      <c r="AC36" s="572">
        <f>'CT (CTR)'!AE199</f>
        <v>0</v>
      </c>
      <c r="AD36" s="572"/>
      <c r="AE36" s="572"/>
      <c r="AF36" s="572"/>
      <c r="AG36" s="572"/>
      <c r="AH36" s="572"/>
      <c r="AI36" s="572"/>
      <c r="AJ36" s="572"/>
      <c r="AK36" s="572"/>
      <c r="AL36" s="572"/>
      <c r="AM36" s="572"/>
      <c r="AN36" s="572"/>
      <c r="AO36" s="572"/>
      <c r="AP36" s="572"/>
      <c r="AQ36" s="572"/>
      <c r="AR36" s="572"/>
      <c r="AS36" s="572"/>
      <c r="AT36" s="572"/>
      <c r="AU36" s="572"/>
      <c r="AV36" s="572"/>
      <c r="AW36" s="572"/>
      <c r="AX36" s="572"/>
      <c r="AY36" s="572"/>
      <c r="AZ36" s="572"/>
      <c r="BA36" s="572"/>
      <c r="BB36" s="572"/>
      <c r="BC36" s="572"/>
      <c r="BD36" s="572"/>
      <c r="BE36" s="572"/>
      <c r="BF36" s="572"/>
      <c r="BG36" s="572"/>
      <c r="BH36" s="572"/>
      <c r="BI36" s="572"/>
      <c r="BJ36" s="572"/>
      <c r="BK36" s="572"/>
      <c r="BL36" s="572"/>
      <c r="BM36" s="572"/>
      <c r="BN36" s="572"/>
      <c r="BO36" s="572"/>
      <c r="BP36" s="572"/>
      <c r="BQ36" s="572"/>
      <c r="BR36" s="572"/>
      <c r="BS36" s="572"/>
      <c r="BT36" s="572"/>
      <c r="BU36" s="572"/>
      <c r="BV36" s="572"/>
      <c r="BW36" s="572"/>
    </row>
    <row r="37" spans="1:75" x14ac:dyDescent="0.2">
      <c r="B37" s="427"/>
      <c r="D37" s="573" t="s">
        <v>701</v>
      </c>
      <c r="E37" s="572">
        <f>'CT (CTR)'!G202</f>
        <v>1.1072532184974599</v>
      </c>
      <c r="F37" s="572">
        <f>'CT (CTR)'!H202</f>
        <v>0.88012858122681104</v>
      </c>
      <c r="G37" s="572">
        <f>'CT (CTR)'!I202</f>
        <v>0.84914101959139499</v>
      </c>
      <c r="H37" s="572">
        <f>'CT (CTR)'!J202</f>
        <v>1.08932757501443</v>
      </c>
      <c r="I37" s="572">
        <f>'CT (CTR)'!K202</f>
        <v>0.972754140043258</v>
      </c>
      <c r="J37" s="572">
        <f>'CT (CTR)'!L202</f>
        <v>1.0814043876317201</v>
      </c>
      <c r="K37" s="572">
        <f>'CT (CTR)'!M202</f>
        <v>1.0483270858398599</v>
      </c>
      <c r="L37" s="572">
        <f>'CT (CTR)'!N202</f>
        <v>1.0969327084499201</v>
      </c>
      <c r="M37" s="572">
        <f>'CT (CTR)'!O202</f>
        <v>1.10779220779221</v>
      </c>
      <c r="N37" s="572">
        <f>'CT (CTR)'!P202</f>
        <v>1.05774880956401</v>
      </c>
      <c r="O37" s="572">
        <f>'CT (CTR)'!Q202</f>
        <v>0.78724161602806897</v>
      </c>
      <c r="P37" s="572">
        <f>'CT (CTR)'!R202</f>
        <v>1.2414797149274801</v>
      </c>
      <c r="Q37" s="572">
        <f>'CT (CTR)'!S202</f>
        <v>1.1682470390381801</v>
      </c>
      <c r="R37" s="572">
        <f>'CT (CTR)'!T202</f>
        <v>0</v>
      </c>
      <c r="S37" s="572">
        <f>'CT (CTR)'!U202</f>
        <v>0</v>
      </c>
      <c r="T37" s="572">
        <f>'CT (CTR)'!V202</f>
        <v>0</v>
      </c>
      <c r="U37" s="572">
        <f>'CT (CTR)'!W202</f>
        <v>0</v>
      </c>
      <c r="V37" s="572">
        <f>'CT (CTR)'!X202</f>
        <v>0</v>
      </c>
      <c r="W37" s="572">
        <f>'CT (CTR)'!Y202</f>
        <v>0</v>
      </c>
      <c r="X37" s="572">
        <f>'CT (CTR)'!Z202</f>
        <v>0</v>
      </c>
      <c r="Y37" s="572">
        <f>'CT (CTR)'!AA202</f>
        <v>0</v>
      </c>
      <c r="Z37" s="572">
        <f>'CT (CTR)'!AB202</f>
        <v>0</v>
      </c>
      <c r="AA37" s="572">
        <f>'CT (CTR)'!AC202</f>
        <v>0</v>
      </c>
      <c r="AB37" s="572">
        <f>'CT (CTR)'!AD202</f>
        <v>0</v>
      </c>
      <c r="AC37" s="572">
        <f>'CT (CTR)'!AE202</f>
        <v>0</v>
      </c>
      <c r="AD37" s="572"/>
      <c r="AE37" s="572"/>
      <c r="AF37" s="572"/>
      <c r="AG37" s="572"/>
      <c r="AH37" s="572"/>
      <c r="AI37" s="572"/>
      <c r="AJ37" s="572"/>
      <c r="AK37" s="572"/>
      <c r="AL37" s="572"/>
      <c r="AM37" s="572"/>
      <c r="AN37" s="572"/>
      <c r="AO37" s="572"/>
      <c r="AP37" s="572"/>
      <c r="AQ37" s="572"/>
      <c r="AR37" s="572"/>
      <c r="AS37" s="572"/>
      <c r="AT37" s="572"/>
      <c r="AU37" s="572"/>
      <c r="AV37" s="572"/>
      <c r="AW37" s="572"/>
      <c r="AX37" s="572"/>
      <c r="AY37" s="572"/>
      <c r="AZ37" s="572"/>
      <c r="BA37" s="572"/>
      <c r="BB37" s="572"/>
      <c r="BC37" s="572"/>
      <c r="BD37" s="572"/>
      <c r="BE37" s="572"/>
      <c r="BF37" s="572"/>
      <c r="BG37" s="572"/>
      <c r="BH37" s="572"/>
      <c r="BI37" s="572"/>
      <c r="BJ37" s="572"/>
      <c r="BK37" s="572"/>
      <c r="BL37" s="572"/>
      <c r="BM37" s="572"/>
      <c r="BN37" s="572"/>
      <c r="BO37" s="572"/>
      <c r="BP37" s="572"/>
      <c r="BQ37" s="572"/>
      <c r="BR37" s="572"/>
      <c r="BS37" s="572"/>
      <c r="BT37" s="572"/>
      <c r="BU37" s="572"/>
      <c r="BV37" s="572"/>
      <c r="BW37" s="572"/>
    </row>
    <row r="38" spans="1:75" x14ac:dyDescent="0.2">
      <c r="B38" s="427"/>
      <c r="D38" s="573" t="s">
        <v>702</v>
      </c>
      <c r="E38" s="572">
        <f>'CT (CTR)'!G203</f>
        <v>1.0449613660183099</v>
      </c>
      <c r="F38" s="572">
        <f>'CT (CTR)'!H203</f>
        <v>0.39488319436754699</v>
      </c>
      <c r="G38" s="572">
        <f>'CT (CTR)'!I203</f>
        <v>0.79565354165574398</v>
      </c>
      <c r="H38" s="572">
        <f>'CT (CTR)'!J203</f>
        <v>1.0396981390652</v>
      </c>
      <c r="I38" s="572">
        <f>'CT (CTR)'!K203</f>
        <v>0.95584724354846695</v>
      </c>
      <c r="J38" s="572">
        <f>'CT (CTR)'!L203</f>
        <v>1.0139776587781399</v>
      </c>
      <c r="K38" s="572">
        <f>'CT (CTR)'!M203</f>
        <v>0.99168932687024902</v>
      </c>
      <c r="L38" s="572">
        <f>'CT (CTR)'!N203</f>
        <v>1.06778119753777</v>
      </c>
      <c r="M38" s="572">
        <f>'CT (CTR)'!O203</f>
        <v>1.1174299384825701</v>
      </c>
      <c r="N38" s="572">
        <f>'CT (CTR)'!P203</f>
        <v>1.0241970889196601</v>
      </c>
      <c r="O38" s="572">
        <f>'CT (CTR)'!Q203</f>
        <v>1.1737306450382601</v>
      </c>
      <c r="P38" s="572">
        <f>'CT (CTR)'!R203</f>
        <v>1.163001580655</v>
      </c>
      <c r="Q38" s="572">
        <f>'CT (CTR)'!S203</f>
        <v>1.26271156116936</v>
      </c>
      <c r="R38" s="572">
        <f>'CT (CTR)'!T203</f>
        <v>0</v>
      </c>
      <c r="S38" s="572">
        <f>'CT (CTR)'!U203</f>
        <v>0</v>
      </c>
      <c r="T38" s="572">
        <f>'CT (CTR)'!V203</f>
        <v>0</v>
      </c>
      <c r="U38" s="572">
        <f>'CT (CTR)'!W203</f>
        <v>0</v>
      </c>
      <c r="V38" s="572">
        <f>'CT (CTR)'!X203</f>
        <v>0</v>
      </c>
      <c r="W38" s="572">
        <f>'CT (CTR)'!Y203</f>
        <v>0</v>
      </c>
      <c r="X38" s="572">
        <f>'CT (CTR)'!Z203</f>
        <v>0</v>
      </c>
      <c r="Y38" s="572">
        <f>'CT (CTR)'!AA203</f>
        <v>0</v>
      </c>
      <c r="Z38" s="572">
        <f>'CT (CTR)'!AB203</f>
        <v>0</v>
      </c>
      <c r="AA38" s="572">
        <f>'CT (CTR)'!AC203</f>
        <v>0</v>
      </c>
      <c r="AB38" s="572">
        <f>'CT (CTR)'!AD203</f>
        <v>0</v>
      </c>
      <c r="AC38" s="572">
        <f>'CT (CTR)'!AE203</f>
        <v>0</v>
      </c>
      <c r="AD38" s="572"/>
      <c r="AE38" s="572"/>
      <c r="AF38" s="572"/>
      <c r="AG38" s="572"/>
      <c r="AH38" s="572"/>
      <c r="AI38" s="572"/>
      <c r="AJ38" s="572"/>
      <c r="AK38" s="572"/>
      <c r="AL38" s="572"/>
      <c r="AM38" s="572"/>
      <c r="AN38" s="572"/>
      <c r="AO38" s="572"/>
      <c r="AP38" s="572"/>
      <c r="AQ38" s="572"/>
      <c r="AR38" s="572"/>
      <c r="AS38" s="572"/>
      <c r="AT38" s="572"/>
      <c r="AU38" s="572"/>
      <c r="AV38" s="572"/>
      <c r="AW38" s="572"/>
      <c r="AX38" s="572"/>
      <c r="AY38" s="572"/>
      <c r="AZ38" s="572"/>
      <c r="BA38" s="572"/>
      <c r="BB38" s="572"/>
      <c r="BC38" s="572"/>
      <c r="BD38" s="572"/>
      <c r="BE38" s="572"/>
      <c r="BF38" s="572"/>
      <c r="BG38" s="572"/>
      <c r="BH38" s="572"/>
      <c r="BI38" s="572"/>
      <c r="BJ38" s="572"/>
      <c r="BK38" s="572"/>
      <c r="BL38" s="572"/>
      <c r="BM38" s="572"/>
      <c r="BN38" s="572"/>
      <c r="BO38" s="572"/>
      <c r="BP38" s="572"/>
      <c r="BQ38" s="572"/>
      <c r="BR38" s="572"/>
      <c r="BS38" s="572"/>
      <c r="BT38" s="572"/>
      <c r="BU38" s="572"/>
      <c r="BV38" s="572"/>
      <c r="BW38" s="572"/>
    </row>
    <row r="39" spans="1:75" x14ac:dyDescent="0.2">
      <c r="B39" s="427"/>
      <c r="D39" s="573" t="s">
        <v>703</v>
      </c>
      <c r="E39" s="572">
        <f>'CT (CTR)'!G204</f>
        <v>16071.2562753033</v>
      </c>
      <c r="F39" s="572">
        <f>'CT (CTR)'!H204</f>
        <v>5035.2398674426204</v>
      </c>
      <c r="G39" s="572">
        <f>'CT (CTR)'!I204</f>
        <v>10199.0015618984</v>
      </c>
      <c r="H39" s="572">
        <f>'CT (CTR)'!J204</f>
        <v>10669.835170987801</v>
      </c>
      <c r="I39" s="572">
        <f>'CT (CTR)'!K204</f>
        <v>14128.929567683699</v>
      </c>
      <c r="J39" s="572">
        <f>'CT (CTR)'!L204</f>
        <v>3323.6518692541899</v>
      </c>
      <c r="K39" s="572">
        <f>'CT (CTR)'!M204</f>
        <v>6822.3407187357097</v>
      </c>
      <c r="L39" s="572">
        <f>'CT (CTR)'!N204</f>
        <v>2766.1641304095601</v>
      </c>
      <c r="M39" s="572">
        <f>'CT (CTR)'!O204</f>
        <v>2857.97507594943</v>
      </c>
      <c r="N39" s="572">
        <f>'CT (CTR)'!P204</f>
        <v>2828.7935411158301</v>
      </c>
      <c r="O39" s="572">
        <f>'CT (CTR)'!Q204</f>
        <v>1853.53869630953</v>
      </c>
      <c r="P39" s="572">
        <f>'CT (CTR)'!R204</f>
        <v>1806.50009184033</v>
      </c>
      <c r="Q39" s="572">
        <f>'CT (CTR)'!S204</f>
        <v>1408.2404330696299</v>
      </c>
      <c r="R39" s="572">
        <f>'CT (CTR)'!T204</f>
        <v>0</v>
      </c>
      <c r="S39" s="572">
        <f>'CT (CTR)'!U204</f>
        <v>0</v>
      </c>
      <c r="T39" s="572">
        <f>'CT (CTR)'!V204</f>
        <v>0</v>
      </c>
      <c r="U39" s="572">
        <f>'CT (CTR)'!W204</f>
        <v>0</v>
      </c>
      <c r="V39" s="572">
        <f>'CT (CTR)'!X204</f>
        <v>0</v>
      </c>
      <c r="W39" s="572">
        <f>'CT (CTR)'!Y204</f>
        <v>0</v>
      </c>
      <c r="X39" s="572">
        <f>'CT (CTR)'!Z204</f>
        <v>0</v>
      </c>
      <c r="Y39" s="572">
        <f>'CT (CTR)'!AA204</f>
        <v>0</v>
      </c>
      <c r="Z39" s="572">
        <f>'CT (CTR)'!AB204</f>
        <v>0</v>
      </c>
      <c r="AA39" s="572">
        <f>'CT (CTR)'!AC204</f>
        <v>0</v>
      </c>
      <c r="AB39" s="572">
        <f>'CT (CTR)'!AD204</f>
        <v>0</v>
      </c>
      <c r="AC39" s="572">
        <f>'CT (CTR)'!AE204</f>
        <v>0</v>
      </c>
      <c r="AD39" s="572"/>
      <c r="AE39" s="572"/>
      <c r="AF39" s="572"/>
      <c r="AG39" s="572"/>
      <c r="AH39" s="572"/>
      <c r="AI39" s="572"/>
      <c r="AJ39" s="572"/>
      <c r="AK39" s="572"/>
      <c r="AL39" s="572"/>
      <c r="AM39" s="572"/>
      <c r="AN39" s="572"/>
      <c r="AO39" s="572"/>
      <c r="AP39" s="572"/>
      <c r="AQ39" s="572"/>
      <c r="AR39" s="572"/>
      <c r="AS39" s="572"/>
      <c r="AT39" s="572"/>
      <c r="AU39" s="572"/>
      <c r="AV39" s="572"/>
      <c r="AW39" s="572"/>
      <c r="AX39" s="572"/>
      <c r="AY39" s="572"/>
      <c r="AZ39" s="572"/>
      <c r="BA39" s="572"/>
      <c r="BB39" s="572"/>
      <c r="BC39" s="572"/>
      <c r="BD39" s="572"/>
      <c r="BE39" s="572"/>
      <c r="BF39" s="572"/>
      <c r="BG39" s="572"/>
      <c r="BH39" s="572"/>
      <c r="BI39" s="572"/>
      <c r="BJ39" s="572"/>
      <c r="BK39" s="572"/>
      <c r="BL39" s="572"/>
      <c r="BM39" s="572"/>
      <c r="BN39" s="572"/>
      <c r="BO39" s="572"/>
      <c r="BP39" s="572"/>
      <c r="BQ39" s="572"/>
      <c r="BR39" s="572"/>
      <c r="BS39" s="572"/>
      <c r="BT39" s="572"/>
      <c r="BU39" s="572"/>
      <c r="BV39" s="572"/>
      <c r="BW39" s="572"/>
    </row>
    <row r="40" spans="1:75" x14ac:dyDescent="0.2">
      <c r="D40" s="574" t="s">
        <v>172</v>
      </c>
      <c r="E40" s="575">
        <f>SUM(E13:E15)*252</f>
        <v>3670.0808042370004</v>
      </c>
      <c r="F40" s="575">
        <f t="shared" ref="F40:BQ40" si="1">SUM(F13:F15)*252</f>
        <v>376.27987722528599</v>
      </c>
      <c r="G40" s="575">
        <f t="shared" si="1"/>
        <v>1469.4462218395261</v>
      </c>
      <c r="H40" s="575">
        <f t="shared" si="1"/>
        <v>1898.6659086311406</v>
      </c>
      <c r="I40" s="575">
        <f t="shared" si="1"/>
        <v>2421.2877086699277</v>
      </c>
      <c r="J40" s="575">
        <f t="shared" si="1"/>
        <v>461.30935597489588</v>
      </c>
      <c r="K40" s="575">
        <f t="shared" si="1"/>
        <v>886.26127965685453</v>
      </c>
      <c r="L40" s="575">
        <f t="shared" si="1"/>
        <v>374.52064663046622</v>
      </c>
      <c r="M40" s="575">
        <f t="shared" si="1"/>
        <v>245.15204122253479</v>
      </c>
      <c r="N40" s="575">
        <f t="shared" si="1"/>
        <v>257.23860697583171</v>
      </c>
      <c r="O40" s="575">
        <f t="shared" si="1"/>
        <v>218.47037720110544</v>
      </c>
      <c r="P40" s="575">
        <f t="shared" si="1"/>
        <v>158.81942869898415</v>
      </c>
      <c r="Q40" s="575">
        <f t="shared" si="1"/>
        <v>130.60658249317501</v>
      </c>
      <c r="R40" s="575">
        <f t="shared" si="1"/>
        <v>0</v>
      </c>
      <c r="S40" s="575">
        <f t="shared" si="1"/>
        <v>0</v>
      </c>
      <c r="T40" s="575">
        <f t="shared" si="1"/>
        <v>0</v>
      </c>
      <c r="U40" s="575">
        <f t="shared" si="1"/>
        <v>0</v>
      </c>
      <c r="V40" s="575">
        <f t="shared" si="1"/>
        <v>0</v>
      </c>
      <c r="W40" s="575">
        <f t="shared" si="1"/>
        <v>0</v>
      </c>
      <c r="X40" s="575">
        <f t="shared" si="1"/>
        <v>0</v>
      </c>
      <c r="Y40" s="575">
        <f t="shared" si="1"/>
        <v>0</v>
      </c>
      <c r="Z40" s="575">
        <f t="shared" si="1"/>
        <v>0</v>
      </c>
      <c r="AA40" s="575">
        <f t="shared" si="1"/>
        <v>0</v>
      </c>
      <c r="AB40" s="575">
        <f t="shared" si="1"/>
        <v>0</v>
      </c>
      <c r="AC40" s="575">
        <f t="shared" si="1"/>
        <v>0</v>
      </c>
      <c r="AD40" s="575">
        <f t="shared" si="1"/>
        <v>0</v>
      </c>
      <c r="AE40" s="575">
        <f t="shared" si="1"/>
        <v>0</v>
      </c>
      <c r="AF40" s="575">
        <f t="shared" si="1"/>
        <v>0</v>
      </c>
      <c r="AG40" s="575">
        <f t="shared" si="1"/>
        <v>0</v>
      </c>
      <c r="AH40" s="575">
        <f t="shared" si="1"/>
        <v>0</v>
      </c>
      <c r="AI40" s="575">
        <f t="shared" si="1"/>
        <v>0</v>
      </c>
      <c r="AJ40" s="575">
        <f t="shared" si="1"/>
        <v>0</v>
      </c>
      <c r="AK40" s="575">
        <f t="shared" si="1"/>
        <v>0</v>
      </c>
      <c r="AL40" s="575">
        <f t="shared" si="1"/>
        <v>0</v>
      </c>
      <c r="AM40" s="575">
        <f t="shared" si="1"/>
        <v>0</v>
      </c>
      <c r="AN40" s="575">
        <f t="shared" si="1"/>
        <v>0</v>
      </c>
      <c r="AO40" s="575">
        <f t="shared" si="1"/>
        <v>0</v>
      </c>
      <c r="AP40" s="575">
        <f t="shared" si="1"/>
        <v>0</v>
      </c>
      <c r="AQ40" s="575">
        <f t="shared" si="1"/>
        <v>0</v>
      </c>
      <c r="AR40" s="575">
        <f t="shared" si="1"/>
        <v>0</v>
      </c>
      <c r="AS40" s="575">
        <f t="shared" si="1"/>
        <v>0</v>
      </c>
      <c r="AT40" s="575">
        <f t="shared" si="1"/>
        <v>0</v>
      </c>
      <c r="AU40" s="575">
        <f t="shared" si="1"/>
        <v>0</v>
      </c>
      <c r="AV40" s="575">
        <f t="shared" si="1"/>
        <v>0</v>
      </c>
      <c r="AW40" s="575">
        <f t="shared" si="1"/>
        <v>0</v>
      </c>
      <c r="AX40" s="575">
        <f t="shared" si="1"/>
        <v>0</v>
      </c>
      <c r="AY40" s="575">
        <f t="shared" si="1"/>
        <v>0</v>
      </c>
      <c r="AZ40" s="575">
        <f t="shared" si="1"/>
        <v>0</v>
      </c>
      <c r="BA40" s="575">
        <f t="shared" si="1"/>
        <v>0</v>
      </c>
      <c r="BB40" s="575">
        <f t="shared" si="1"/>
        <v>0</v>
      </c>
      <c r="BC40" s="575">
        <f t="shared" si="1"/>
        <v>0</v>
      </c>
      <c r="BD40" s="575">
        <f t="shared" si="1"/>
        <v>0</v>
      </c>
      <c r="BE40" s="575">
        <f t="shared" si="1"/>
        <v>0</v>
      </c>
      <c r="BF40" s="575">
        <f t="shared" si="1"/>
        <v>0</v>
      </c>
      <c r="BG40" s="575">
        <f t="shared" si="1"/>
        <v>0</v>
      </c>
      <c r="BH40" s="575">
        <f t="shared" si="1"/>
        <v>0</v>
      </c>
      <c r="BI40" s="575">
        <f t="shared" si="1"/>
        <v>0</v>
      </c>
      <c r="BJ40" s="575">
        <f t="shared" si="1"/>
        <v>0</v>
      </c>
      <c r="BK40" s="575">
        <f t="shared" si="1"/>
        <v>0</v>
      </c>
      <c r="BL40" s="575">
        <f t="shared" si="1"/>
        <v>0</v>
      </c>
      <c r="BM40" s="575">
        <f t="shared" si="1"/>
        <v>0</v>
      </c>
      <c r="BN40" s="575">
        <f t="shared" si="1"/>
        <v>0</v>
      </c>
      <c r="BO40" s="575">
        <f t="shared" si="1"/>
        <v>0</v>
      </c>
      <c r="BP40" s="575">
        <f t="shared" si="1"/>
        <v>0</v>
      </c>
      <c r="BQ40" s="575">
        <f t="shared" si="1"/>
        <v>0</v>
      </c>
      <c r="BR40" s="575">
        <f t="shared" ref="BR40:BW40" si="2">SUM(BR13:BR15)*252</f>
        <v>0</v>
      </c>
      <c r="BS40" s="575">
        <f t="shared" si="2"/>
        <v>0</v>
      </c>
      <c r="BT40" s="575">
        <f t="shared" si="2"/>
        <v>0</v>
      </c>
      <c r="BU40" s="575">
        <f t="shared" si="2"/>
        <v>0</v>
      </c>
      <c r="BV40" s="575">
        <f t="shared" si="2"/>
        <v>0</v>
      </c>
      <c r="BW40" s="575">
        <f t="shared" si="2"/>
        <v>0</v>
      </c>
    </row>
    <row r="41" spans="1:75" x14ac:dyDescent="0.2">
      <c r="D41" s="574" t="s">
        <v>704</v>
      </c>
      <c r="E41" s="575">
        <f>SUMIF($A$16:$A$36,"INTERMED",E16:E36)*252</f>
        <v>1261.5638065516862</v>
      </c>
      <c r="F41" s="575">
        <f t="shared" ref="F41:BQ41" si="3">SUMIF($A$16:$A$36,"INTERMED",F16:F36)*252</f>
        <v>415.92772229742189</v>
      </c>
      <c r="G41" s="575">
        <f t="shared" si="3"/>
        <v>917.47133354272796</v>
      </c>
      <c r="H41" s="575">
        <f t="shared" si="3"/>
        <v>795.69348236799874</v>
      </c>
      <c r="I41" s="575">
        <f t="shared" si="3"/>
        <v>1161.5482894017596</v>
      </c>
      <c r="J41" s="575">
        <f t="shared" si="3"/>
        <v>140.44524248642506</v>
      </c>
      <c r="K41" s="575">
        <f t="shared" si="3"/>
        <v>672.48218404193528</v>
      </c>
      <c r="L41" s="575">
        <f t="shared" si="3"/>
        <v>263.26560068030602</v>
      </c>
      <c r="M41" s="575">
        <f t="shared" si="3"/>
        <v>140.57555586381895</v>
      </c>
      <c r="N41" s="575">
        <f t="shared" si="3"/>
        <v>164.97673578085264</v>
      </c>
      <c r="O41" s="575">
        <f t="shared" si="3"/>
        <v>114.05678356413206</v>
      </c>
      <c r="P41" s="575">
        <f t="shared" si="3"/>
        <v>121.02854925471307</v>
      </c>
      <c r="Q41" s="575">
        <f t="shared" si="3"/>
        <v>76.591687563346028</v>
      </c>
      <c r="R41" s="575">
        <f t="shared" si="3"/>
        <v>0</v>
      </c>
      <c r="S41" s="575">
        <f t="shared" si="3"/>
        <v>0</v>
      </c>
      <c r="T41" s="575">
        <f t="shared" si="3"/>
        <v>0</v>
      </c>
      <c r="U41" s="575">
        <f t="shared" si="3"/>
        <v>0</v>
      </c>
      <c r="V41" s="575">
        <f t="shared" si="3"/>
        <v>0</v>
      </c>
      <c r="W41" s="575">
        <f t="shared" si="3"/>
        <v>0</v>
      </c>
      <c r="X41" s="575">
        <f t="shared" si="3"/>
        <v>0</v>
      </c>
      <c r="Y41" s="575">
        <f t="shared" si="3"/>
        <v>0</v>
      </c>
      <c r="Z41" s="575">
        <f t="shared" si="3"/>
        <v>0</v>
      </c>
      <c r="AA41" s="575">
        <f t="shared" si="3"/>
        <v>0</v>
      </c>
      <c r="AB41" s="575">
        <f t="shared" si="3"/>
        <v>0</v>
      </c>
      <c r="AC41" s="575">
        <f t="shared" si="3"/>
        <v>0</v>
      </c>
      <c r="AD41" s="575">
        <f t="shared" si="3"/>
        <v>0</v>
      </c>
      <c r="AE41" s="575">
        <f t="shared" si="3"/>
        <v>0</v>
      </c>
      <c r="AF41" s="575">
        <f t="shared" si="3"/>
        <v>0</v>
      </c>
      <c r="AG41" s="575">
        <f t="shared" si="3"/>
        <v>0</v>
      </c>
      <c r="AH41" s="575">
        <f t="shared" si="3"/>
        <v>0</v>
      </c>
      <c r="AI41" s="575">
        <f t="shared" si="3"/>
        <v>0</v>
      </c>
      <c r="AJ41" s="575">
        <f t="shared" si="3"/>
        <v>0</v>
      </c>
      <c r="AK41" s="575">
        <f t="shared" si="3"/>
        <v>0</v>
      </c>
      <c r="AL41" s="575">
        <f t="shared" si="3"/>
        <v>0</v>
      </c>
      <c r="AM41" s="575">
        <f t="shared" si="3"/>
        <v>0</v>
      </c>
      <c r="AN41" s="575">
        <f t="shared" si="3"/>
        <v>0</v>
      </c>
      <c r="AO41" s="575">
        <f t="shared" si="3"/>
        <v>0</v>
      </c>
      <c r="AP41" s="575">
        <f t="shared" si="3"/>
        <v>0</v>
      </c>
      <c r="AQ41" s="575">
        <f t="shared" si="3"/>
        <v>0</v>
      </c>
      <c r="AR41" s="575">
        <f t="shared" si="3"/>
        <v>0</v>
      </c>
      <c r="AS41" s="575">
        <f t="shared" si="3"/>
        <v>0</v>
      </c>
      <c r="AT41" s="575">
        <f t="shared" si="3"/>
        <v>0</v>
      </c>
      <c r="AU41" s="575">
        <f t="shared" si="3"/>
        <v>0</v>
      </c>
      <c r="AV41" s="575">
        <f t="shared" si="3"/>
        <v>0</v>
      </c>
      <c r="AW41" s="575">
        <f t="shared" si="3"/>
        <v>0</v>
      </c>
      <c r="AX41" s="575">
        <f t="shared" si="3"/>
        <v>0</v>
      </c>
      <c r="AY41" s="575">
        <f t="shared" si="3"/>
        <v>0</v>
      </c>
      <c r="AZ41" s="575">
        <f t="shared" si="3"/>
        <v>0</v>
      </c>
      <c r="BA41" s="575">
        <f t="shared" si="3"/>
        <v>0</v>
      </c>
      <c r="BB41" s="575">
        <f t="shared" si="3"/>
        <v>0</v>
      </c>
      <c r="BC41" s="575">
        <f t="shared" si="3"/>
        <v>0</v>
      </c>
      <c r="BD41" s="575">
        <f t="shared" si="3"/>
        <v>0</v>
      </c>
      <c r="BE41" s="575">
        <f t="shared" si="3"/>
        <v>0</v>
      </c>
      <c r="BF41" s="575">
        <f t="shared" si="3"/>
        <v>0</v>
      </c>
      <c r="BG41" s="575">
        <f t="shared" si="3"/>
        <v>0</v>
      </c>
      <c r="BH41" s="575">
        <f t="shared" si="3"/>
        <v>0</v>
      </c>
      <c r="BI41" s="575">
        <f t="shared" si="3"/>
        <v>0</v>
      </c>
      <c r="BJ41" s="575">
        <f t="shared" si="3"/>
        <v>0</v>
      </c>
      <c r="BK41" s="575">
        <f t="shared" si="3"/>
        <v>0</v>
      </c>
      <c r="BL41" s="575">
        <f t="shared" si="3"/>
        <v>0</v>
      </c>
      <c r="BM41" s="575">
        <f t="shared" si="3"/>
        <v>0</v>
      </c>
      <c r="BN41" s="575">
        <f t="shared" si="3"/>
        <v>0</v>
      </c>
      <c r="BO41" s="575">
        <f t="shared" si="3"/>
        <v>0</v>
      </c>
      <c r="BP41" s="575">
        <f t="shared" si="3"/>
        <v>0</v>
      </c>
      <c r="BQ41" s="575">
        <f t="shared" si="3"/>
        <v>0</v>
      </c>
      <c r="BR41" s="575">
        <f t="shared" ref="BR41:BW41" si="4">SUMIF($A$16:$A$36,"INTERMED",BR16:BR36)*252</f>
        <v>0</v>
      </c>
      <c r="BS41" s="575">
        <f t="shared" si="4"/>
        <v>0</v>
      </c>
      <c r="BT41" s="575">
        <f t="shared" si="4"/>
        <v>0</v>
      </c>
      <c r="BU41" s="575">
        <f t="shared" si="4"/>
        <v>0</v>
      </c>
      <c r="BV41" s="575">
        <f t="shared" si="4"/>
        <v>0</v>
      </c>
      <c r="BW41" s="575">
        <f t="shared" si="4"/>
        <v>0</v>
      </c>
    </row>
    <row r="42" spans="1:75" x14ac:dyDescent="0.2">
      <c r="D42" s="574" t="s">
        <v>173</v>
      </c>
      <c r="E42" s="575">
        <f>SUMIF($A$16:$A$36, "FORA PONTA",E16:E36)*252+SUM(E13:E36)*(E37*52+E38*61)</f>
        <v>11139.611664514638</v>
      </c>
      <c r="F42" s="575">
        <f t="shared" ref="F42:BQ42" si="5">SUMIF($A$16:$A$36, "FORA PONTA",F16:F36)*252+SUM(F13:F36)*(F37*52+F38*61)</f>
        <v>4243.0322679199098</v>
      </c>
      <c r="G42" s="575">
        <f t="shared" si="5"/>
        <v>7812.0840065161465</v>
      </c>
      <c r="H42" s="575">
        <f t="shared" si="5"/>
        <v>7975.475779988612</v>
      </c>
      <c r="I42" s="575">
        <f t="shared" si="5"/>
        <v>10546.093569612014</v>
      </c>
      <c r="J42" s="575">
        <f t="shared" si="5"/>
        <v>2721.8972707928715</v>
      </c>
      <c r="K42" s="575">
        <f t="shared" si="5"/>
        <v>5263.5972550369179</v>
      </c>
      <c r="L42" s="575">
        <f t="shared" si="5"/>
        <v>2128.3778830987899</v>
      </c>
      <c r="M42" s="575">
        <f t="shared" si="5"/>
        <v>2472.2474788630789</v>
      </c>
      <c r="N42" s="575">
        <f t="shared" si="5"/>
        <v>2406.5781983591446</v>
      </c>
      <c r="O42" s="575">
        <f t="shared" si="5"/>
        <v>1521.0115355442908</v>
      </c>
      <c r="P42" s="575">
        <f t="shared" si="5"/>
        <v>1526.6521138866317</v>
      </c>
      <c r="Q42" s="575">
        <f t="shared" si="5"/>
        <v>1201.0421630131086</v>
      </c>
      <c r="R42" s="575">
        <f t="shared" si="5"/>
        <v>0</v>
      </c>
      <c r="S42" s="575">
        <f t="shared" si="5"/>
        <v>0</v>
      </c>
      <c r="T42" s="575">
        <f t="shared" si="5"/>
        <v>0</v>
      </c>
      <c r="U42" s="575">
        <f t="shared" si="5"/>
        <v>0</v>
      </c>
      <c r="V42" s="575">
        <f t="shared" si="5"/>
        <v>0</v>
      </c>
      <c r="W42" s="575">
        <f t="shared" si="5"/>
        <v>0</v>
      </c>
      <c r="X42" s="575">
        <f t="shared" si="5"/>
        <v>0</v>
      </c>
      <c r="Y42" s="575">
        <f t="shared" si="5"/>
        <v>0</v>
      </c>
      <c r="Z42" s="575">
        <f t="shared" si="5"/>
        <v>0</v>
      </c>
      <c r="AA42" s="575">
        <f t="shared" si="5"/>
        <v>0</v>
      </c>
      <c r="AB42" s="575">
        <f t="shared" si="5"/>
        <v>0</v>
      </c>
      <c r="AC42" s="575">
        <f t="shared" si="5"/>
        <v>0</v>
      </c>
      <c r="AD42" s="575">
        <f t="shared" si="5"/>
        <v>0</v>
      </c>
      <c r="AE42" s="575">
        <f t="shared" si="5"/>
        <v>0</v>
      </c>
      <c r="AF42" s="575">
        <f t="shared" si="5"/>
        <v>0</v>
      </c>
      <c r="AG42" s="575">
        <f t="shared" si="5"/>
        <v>0</v>
      </c>
      <c r="AH42" s="575">
        <f t="shared" si="5"/>
        <v>0</v>
      </c>
      <c r="AI42" s="575">
        <f t="shared" si="5"/>
        <v>0</v>
      </c>
      <c r="AJ42" s="575">
        <f t="shared" si="5"/>
        <v>0</v>
      </c>
      <c r="AK42" s="575">
        <f t="shared" si="5"/>
        <v>0</v>
      </c>
      <c r="AL42" s="575">
        <f t="shared" si="5"/>
        <v>0</v>
      </c>
      <c r="AM42" s="575">
        <f t="shared" si="5"/>
        <v>0</v>
      </c>
      <c r="AN42" s="575">
        <f t="shared" si="5"/>
        <v>0</v>
      </c>
      <c r="AO42" s="575">
        <f t="shared" si="5"/>
        <v>0</v>
      </c>
      <c r="AP42" s="575">
        <f t="shared" si="5"/>
        <v>0</v>
      </c>
      <c r="AQ42" s="575">
        <f t="shared" si="5"/>
        <v>0</v>
      </c>
      <c r="AR42" s="575">
        <f t="shared" si="5"/>
        <v>0</v>
      </c>
      <c r="AS42" s="575">
        <f t="shared" si="5"/>
        <v>0</v>
      </c>
      <c r="AT42" s="575">
        <f t="shared" si="5"/>
        <v>0</v>
      </c>
      <c r="AU42" s="575">
        <f t="shared" si="5"/>
        <v>0</v>
      </c>
      <c r="AV42" s="575">
        <f t="shared" si="5"/>
        <v>0</v>
      </c>
      <c r="AW42" s="575">
        <f t="shared" si="5"/>
        <v>0</v>
      </c>
      <c r="AX42" s="575">
        <f t="shared" si="5"/>
        <v>0</v>
      </c>
      <c r="AY42" s="575">
        <f t="shared" si="5"/>
        <v>0</v>
      </c>
      <c r="AZ42" s="575">
        <f t="shared" si="5"/>
        <v>0</v>
      </c>
      <c r="BA42" s="575">
        <f t="shared" si="5"/>
        <v>0</v>
      </c>
      <c r="BB42" s="575">
        <f t="shared" si="5"/>
        <v>0</v>
      </c>
      <c r="BC42" s="575">
        <f t="shared" si="5"/>
        <v>0</v>
      </c>
      <c r="BD42" s="575">
        <f t="shared" si="5"/>
        <v>0</v>
      </c>
      <c r="BE42" s="575">
        <f t="shared" si="5"/>
        <v>0</v>
      </c>
      <c r="BF42" s="575">
        <f t="shared" si="5"/>
        <v>0</v>
      </c>
      <c r="BG42" s="575">
        <f t="shared" si="5"/>
        <v>0</v>
      </c>
      <c r="BH42" s="575">
        <f t="shared" si="5"/>
        <v>0</v>
      </c>
      <c r="BI42" s="575">
        <f t="shared" si="5"/>
        <v>0</v>
      </c>
      <c r="BJ42" s="575">
        <f t="shared" si="5"/>
        <v>0</v>
      </c>
      <c r="BK42" s="575">
        <f t="shared" si="5"/>
        <v>0</v>
      </c>
      <c r="BL42" s="575">
        <f t="shared" si="5"/>
        <v>0</v>
      </c>
      <c r="BM42" s="575">
        <f t="shared" si="5"/>
        <v>0</v>
      </c>
      <c r="BN42" s="575">
        <f t="shared" si="5"/>
        <v>0</v>
      </c>
      <c r="BO42" s="575">
        <f t="shared" si="5"/>
        <v>0</v>
      </c>
      <c r="BP42" s="575">
        <f t="shared" si="5"/>
        <v>0</v>
      </c>
      <c r="BQ42" s="575">
        <f t="shared" si="5"/>
        <v>0</v>
      </c>
      <c r="BR42" s="575">
        <f t="shared" ref="BR42:BW42" si="6">SUMIF($A$16:$A$36, "FORA PONTA",BR16:BR36)*252+SUM(BR13:BR36)*(BR37*52+BR38*61)</f>
        <v>0</v>
      </c>
      <c r="BS42" s="575">
        <f t="shared" si="6"/>
        <v>0</v>
      </c>
      <c r="BT42" s="575">
        <f t="shared" si="6"/>
        <v>0</v>
      </c>
      <c r="BU42" s="575">
        <f t="shared" si="6"/>
        <v>0</v>
      </c>
      <c r="BV42" s="575">
        <f t="shared" si="6"/>
        <v>0</v>
      </c>
      <c r="BW42" s="575">
        <f t="shared" si="6"/>
        <v>0</v>
      </c>
    </row>
    <row r="43" spans="1:75" ht="13.5" thickBot="1" x14ac:dyDescent="0.25">
      <c r="D43" s="574" t="s">
        <v>705</v>
      </c>
      <c r="E43" s="576">
        <f>IFERROR(E39/SUM($E$39:$BW$39),)</f>
        <v>0.20146622444969323</v>
      </c>
      <c r="F43" s="576">
        <f t="shared" ref="F43:BQ43" si="7">IFERROR(F39/SUM($E$39:$BW$39),)</f>
        <v>6.3120813203079482E-2</v>
      </c>
      <c r="G43" s="576">
        <f t="shared" si="7"/>
        <v>0.1278527516849903</v>
      </c>
      <c r="H43" s="576">
        <f t="shared" si="7"/>
        <v>0.13375503262322852</v>
      </c>
      <c r="I43" s="576">
        <f t="shared" si="7"/>
        <v>0.17711758475851641</v>
      </c>
      <c r="J43" s="576">
        <f t="shared" si="7"/>
        <v>4.1664670266803407E-2</v>
      </c>
      <c r="K43" s="576">
        <f t="shared" si="7"/>
        <v>8.5523570962230247E-2</v>
      </c>
      <c r="L43" s="576">
        <f t="shared" si="7"/>
        <v>3.4676109571979662E-2</v>
      </c>
      <c r="M43" s="576">
        <f t="shared" si="7"/>
        <v>3.5827034194437335E-2</v>
      </c>
      <c r="N43" s="576">
        <f t="shared" si="7"/>
        <v>3.5461220001329917E-2</v>
      </c>
      <c r="O43" s="576">
        <f t="shared" si="7"/>
        <v>2.3235609999619659E-2</v>
      </c>
      <c r="P43" s="576">
        <f t="shared" si="7"/>
        <v>2.264594296404665E-2</v>
      </c>
      <c r="Q43" s="576">
        <f t="shared" si="7"/>
        <v>1.7653435320045319E-2</v>
      </c>
      <c r="R43" s="576">
        <f t="shared" si="7"/>
        <v>0</v>
      </c>
      <c r="S43" s="576">
        <f t="shared" si="7"/>
        <v>0</v>
      </c>
      <c r="T43" s="576">
        <f t="shared" si="7"/>
        <v>0</v>
      </c>
      <c r="U43" s="576">
        <f t="shared" si="7"/>
        <v>0</v>
      </c>
      <c r="V43" s="576">
        <f t="shared" si="7"/>
        <v>0</v>
      </c>
      <c r="W43" s="576">
        <f t="shared" si="7"/>
        <v>0</v>
      </c>
      <c r="X43" s="576">
        <f t="shared" si="7"/>
        <v>0</v>
      </c>
      <c r="Y43" s="576">
        <f t="shared" si="7"/>
        <v>0</v>
      </c>
      <c r="Z43" s="576">
        <f t="shared" si="7"/>
        <v>0</v>
      </c>
      <c r="AA43" s="576">
        <f t="shared" si="7"/>
        <v>0</v>
      </c>
      <c r="AB43" s="576">
        <f t="shared" si="7"/>
        <v>0</v>
      </c>
      <c r="AC43" s="576">
        <f t="shared" si="7"/>
        <v>0</v>
      </c>
      <c r="AD43" s="576">
        <f t="shared" si="7"/>
        <v>0</v>
      </c>
      <c r="AE43" s="576">
        <f t="shared" si="7"/>
        <v>0</v>
      </c>
      <c r="AF43" s="576">
        <f t="shared" si="7"/>
        <v>0</v>
      </c>
      <c r="AG43" s="576">
        <f t="shared" si="7"/>
        <v>0</v>
      </c>
      <c r="AH43" s="576">
        <f t="shared" si="7"/>
        <v>0</v>
      </c>
      <c r="AI43" s="576">
        <f t="shared" si="7"/>
        <v>0</v>
      </c>
      <c r="AJ43" s="576">
        <f t="shared" si="7"/>
        <v>0</v>
      </c>
      <c r="AK43" s="576">
        <f t="shared" si="7"/>
        <v>0</v>
      </c>
      <c r="AL43" s="576">
        <f t="shared" si="7"/>
        <v>0</v>
      </c>
      <c r="AM43" s="576">
        <f t="shared" si="7"/>
        <v>0</v>
      </c>
      <c r="AN43" s="576">
        <f t="shared" si="7"/>
        <v>0</v>
      </c>
      <c r="AO43" s="576">
        <f t="shared" si="7"/>
        <v>0</v>
      </c>
      <c r="AP43" s="576">
        <f t="shared" si="7"/>
        <v>0</v>
      </c>
      <c r="AQ43" s="576">
        <f t="shared" si="7"/>
        <v>0</v>
      </c>
      <c r="AR43" s="576">
        <f t="shared" si="7"/>
        <v>0</v>
      </c>
      <c r="AS43" s="576">
        <f t="shared" si="7"/>
        <v>0</v>
      </c>
      <c r="AT43" s="576">
        <f t="shared" si="7"/>
        <v>0</v>
      </c>
      <c r="AU43" s="576">
        <f t="shared" si="7"/>
        <v>0</v>
      </c>
      <c r="AV43" s="576">
        <f t="shared" si="7"/>
        <v>0</v>
      </c>
      <c r="AW43" s="576">
        <f t="shared" si="7"/>
        <v>0</v>
      </c>
      <c r="AX43" s="576">
        <f t="shared" si="7"/>
        <v>0</v>
      </c>
      <c r="AY43" s="576">
        <f t="shared" si="7"/>
        <v>0</v>
      </c>
      <c r="AZ43" s="576">
        <f t="shared" si="7"/>
        <v>0</v>
      </c>
      <c r="BA43" s="576">
        <f t="shared" si="7"/>
        <v>0</v>
      </c>
      <c r="BB43" s="576">
        <f t="shared" si="7"/>
        <v>0</v>
      </c>
      <c r="BC43" s="576">
        <f t="shared" si="7"/>
        <v>0</v>
      </c>
      <c r="BD43" s="576">
        <f t="shared" si="7"/>
        <v>0</v>
      </c>
      <c r="BE43" s="576">
        <f t="shared" si="7"/>
        <v>0</v>
      </c>
      <c r="BF43" s="576">
        <f t="shared" si="7"/>
        <v>0</v>
      </c>
      <c r="BG43" s="576">
        <f t="shared" si="7"/>
        <v>0</v>
      </c>
      <c r="BH43" s="576">
        <f t="shared" si="7"/>
        <v>0</v>
      </c>
      <c r="BI43" s="576">
        <f t="shared" si="7"/>
        <v>0</v>
      </c>
      <c r="BJ43" s="576">
        <f t="shared" si="7"/>
        <v>0</v>
      </c>
      <c r="BK43" s="576">
        <f t="shared" si="7"/>
        <v>0</v>
      </c>
      <c r="BL43" s="576">
        <f t="shared" si="7"/>
        <v>0</v>
      </c>
      <c r="BM43" s="576">
        <f t="shared" si="7"/>
        <v>0</v>
      </c>
      <c r="BN43" s="576">
        <f t="shared" si="7"/>
        <v>0</v>
      </c>
      <c r="BO43" s="576">
        <f t="shared" si="7"/>
        <v>0</v>
      </c>
      <c r="BP43" s="576">
        <f t="shared" si="7"/>
        <v>0</v>
      </c>
      <c r="BQ43" s="576">
        <f t="shared" si="7"/>
        <v>0</v>
      </c>
      <c r="BR43" s="576">
        <f t="shared" ref="BR43:BW43" si="8">IFERROR(BR39/SUM($E$39:$BW$39),)</f>
        <v>0</v>
      </c>
      <c r="BS43" s="576">
        <f t="shared" si="8"/>
        <v>0</v>
      </c>
      <c r="BT43" s="576">
        <f t="shared" si="8"/>
        <v>0</v>
      </c>
      <c r="BU43" s="576">
        <f t="shared" si="8"/>
        <v>0</v>
      </c>
      <c r="BV43" s="576">
        <f t="shared" si="8"/>
        <v>0</v>
      </c>
      <c r="BW43" s="576">
        <f t="shared" si="8"/>
        <v>0</v>
      </c>
    </row>
    <row r="44" spans="1:75" ht="13.5" thickBot="1" x14ac:dyDescent="0.25">
      <c r="D44" s="574" t="s">
        <v>706</v>
      </c>
      <c r="E44" s="577">
        <f t="shared" ref="E44:AJ44" si="9">IFERROR(IF(E43&gt;0,((TR_FIOA_BT_MWh+TR_FIOB_BT_MWh+1.06*PMIX_ENERGIA_MWh)*E39-PMIX_ENERGIA_MWh*(1.72*E40+E41+E42))/((TR_FIOA_BT_MWh+TR_FIOB_BT_MWh)*(RPFP_B1*E40+RINTFP_B1*E41+E42)),0),0)</f>
        <v>0.43591436491869773</v>
      </c>
      <c r="F44" s="577">
        <f t="shared" si="9"/>
        <v>0.68695146493320036</v>
      </c>
      <c r="G44" s="577">
        <f t="shared" si="9"/>
        <v>0.54615999833571804</v>
      </c>
      <c r="H44" s="577">
        <f t="shared" si="9"/>
        <v>0.50319737855261126</v>
      </c>
      <c r="I44" s="577">
        <f t="shared" si="9"/>
        <v>0.50858700402072343</v>
      </c>
      <c r="J44" s="577">
        <f t="shared" si="9"/>
        <v>0.58713824834454009</v>
      </c>
      <c r="K44" s="577">
        <f t="shared" si="9"/>
        <v>0.56426080848722582</v>
      </c>
      <c r="L44" s="577">
        <f t="shared" si="9"/>
        <v>0.55719335552990634</v>
      </c>
      <c r="M44" s="577">
        <f t="shared" si="9"/>
        <v>0.69258820492983619</v>
      </c>
      <c r="N44" s="577">
        <f t="shared" si="9"/>
        <v>0.67204919051086576</v>
      </c>
      <c r="O44" s="577">
        <f t="shared" si="9"/>
        <v>0.61258780948687741</v>
      </c>
      <c r="P44" s="577">
        <f t="shared" si="9"/>
        <v>0.67103134124955466</v>
      </c>
      <c r="Q44" s="577">
        <f t="shared" si="9"/>
        <v>0.67151379096556751</v>
      </c>
      <c r="R44" s="577">
        <f t="shared" si="9"/>
        <v>0</v>
      </c>
      <c r="S44" s="577">
        <f t="shared" si="9"/>
        <v>0</v>
      </c>
      <c r="T44" s="577">
        <f t="shared" si="9"/>
        <v>0</v>
      </c>
      <c r="U44" s="577">
        <f t="shared" si="9"/>
        <v>0</v>
      </c>
      <c r="V44" s="577">
        <f t="shared" si="9"/>
        <v>0</v>
      </c>
      <c r="W44" s="577">
        <f t="shared" si="9"/>
        <v>0</v>
      </c>
      <c r="X44" s="577">
        <f t="shared" si="9"/>
        <v>0</v>
      </c>
      <c r="Y44" s="577">
        <f t="shared" si="9"/>
        <v>0</v>
      </c>
      <c r="Z44" s="577">
        <f t="shared" si="9"/>
        <v>0</v>
      </c>
      <c r="AA44" s="577">
        <f t="shared" si="9"/>
        <v>0</v>
      </c>
      <c r="AB44" s="577">
        <f t="shared" si="9"/>
        <v>0</v>
      </c>
      <c r="AC44" s="577">
        <f t="shared" si="9"/>
        <v>0</v>
      </c>
      <c r="AD44" s="577">
        <f t="shared" si="9"/>
        <v>0</v>
      </c>
      <c r="AE44" s="577">
        <f t="shared" si="9"/>
        <v>0</v>
      </c>
      <c r="AF44" s="577">
        <f t="shared" si="9"/>
        <v>0</v>
      </c>
      <c r="AG44" s="577">
        <f t="shared" si="9"/>
        <v>0</v>
      </c>
      <c r="AH44" s="577">
        <f t="shared" si="9"/>
        <v>0</v>
      </c>
      <c r="AI44" s="577">
        <f t="shared" si="9"/>
        <v>0</v>
      </c>
      <c r="AJ44" s="577">
        <f t="shared" si="9"/>
        <v>0</v>
      </c>
      <c r="AK44" s="577">
        <f t="shared" ref="AK44:BP44" si="10">IFERROR(IF(AK43&gt;0,((TR_FIOA_BT_MWh+TR_FIOB_BT_MWh+1.06*PMIX_ENERGIA_MWh)*AK39-PMIX_ENERGIA_MWh*(1.72*AK40+AK41+AK42))/((TR_FIOA_BT_MWh+TR_FIOB_BT_MWh)*(RPFP_B1*AK40+RINTFP_B1*AK41+AK42)),0),0)</f>
        <v>0</v>
      </c>
      <c r="AL44" s="577">
        <f t="shared" si="10"/>
        <v>0</v>
      </c>
      <c r="AM44" s="577">
        <f t="shared" si="10"/>
        <v>0</v>
      </c>
      <c r="AN44" s="577">
        <f t="shared" si="10"/>
        <v>0</v>
      </c>
      <c r="AO44" s="577">
        <f t="shared" si="10"/>
        <v>0</v>
      </c>
      <c r="AP44" s="577">
        <f t="shared" si="10"/>
        <v>0</v>
      </c>
      <c r="AQ44" s="577">
        <f t="shared" si="10"/>
        <v>0</v>
      </c>
      <c r="AR44" s="577">
        <f t="shared" si="10"/>
        <v>0</v>
      </c>
      <c r="AS44" s="577">
        <f t="shared" si="10"/>
        <v>0</v>
      </c>
      <c r="AT44" s="577">
        <f t="shared" si="10"/>
        <v>0</v>
      </c>
      <c r="AU44" s="577">
        <f t="shared" si="10"/>
        <v>0</v>
      </c>
      <c r="AV44" s="577">
        <f t="shared" si="10"/>
        <v>0</v>
      </c>
      <c r="AW44" s="577">
        <f t="shared" si="10"/>
        <v>0</v>
      </c>
      <c r="AX44" s="577">
        <f t="shared" si="10"/>
        <v>0</v>
      </c>
      <c r="AY44" s="577">
        <f t="shared" si="10"/>
        <v>0</v>
      </c>
      <c r="AZ44" s="577">
        <f t="shared" si="10"/>
        <v>0</v>
      </c>
      <c r="BA44" s="577">
        <f t="shared" si="10"/>
        <v>0</v>
      </c>
      <c r="BB44" s="577">
        <f t="shared" si="10"/>
        <v>0</v>
      </c>
      <c r="BC44" s="577">
        <f t="shared" si="10"/>
        <v>0</v>
      </c>
      <c r="BD44" s="577">
        <f t="shared" si="10"/>
        <v>0</v>
      </c>
      <c r="BE44" s="577">
        <f t="shared" si="10"/>
        <v>0</v>
      </c>
      <c r="BF44" s="577">
        <f t="shared" si="10"/>
        <v>0</v>
      </c>
      <c r="BG44" s="577">
        <f t="shared" si="10"/>
        <v>0</v>
      </c>
      <c r="BH44" s="577">
        <f t="shared" si="10"/>
        <v>0</v>
      </c>
      <c r="BI44" s="577">
        <f t="shared" si="10"/>
        <v>0</v>
      </c>
      <c r="BJ44" s="577">
        <f t="shared" si="10"/>
        <v>0</v>
      </c>
      <c r="BK44" s="577">
        <f t="shared" si="10"/>
        <v>0</v>
      </c>
      <c r="BL44" s="577">
        <f t="shared" si="10"/>
        <v>0</v>
      </c>
      <c r="BM44" s="577">
        <f t="shared" si="10"/>
        <v>0</v>
      </c>
      <c r="BN44" s="577">
        <f t="shared" si="10"/>
        <v>0</v>
      </c>
      <c r="BO44" s="577">
        <f t="shared" si="10"/>
        <v>0</v>
      </c>
      <c r="BP44" s="577">
        <f t="shared" si="10"/>
        <v>0</v>
      </c>
      <c r="BQ44" s="577">
        <f t="shared" ref="BQ44:BW44" si="11">IFERROR(IF(BQ43&gt;0,((TR_FIOA_BT_MWh+TR_FIOB_BT_MWh+1.06*PMIX_ENERGIA_MWh)*BQ39-PMIX_ENERGIA_MWh*(1.72*BQ40+BQ41+BQ42))/((TR_FIOA_BT_MWh+TR_FIOB_BT_MWh)*(RPFP_B1*BQ40+RINTFP_B1*BQ41+BQ42)),0),0)</f>
        <v>0</v>
      </c>
      <c r="BR44" s="577">
        <f t="shared" si="11"/>
        <v>0</v>
      </c>
      <c r="BS44" s="577">
        <f t="shared" si="11"/>
        <v>0</v>
      </c>
      <c r="BT44" s="577">
        <f t="shared" si="11"/>
        <v>0</v>
      </c>
      <c r="BU44" s="577">
        <f t="shared" si="11"/>
        <v>0</v>
      </c>
      <c r="BV44" s="577">
        <f t="shared" si="11"/>
        <v>0</v>
      </c>
      <c r="BW44" s="577">
        <f t="shared" si="11"/>
        <v>0</v>
      </c>
    </row>
    <row r="45" spans="1:75" x14ac:dyDescent="0.2">
      <c r="E45" s="578"/>
      <c r="F45" s="578"/>
      <c r="G45" s="578"/>
      <c r="H45" s="578"/>
      <c r="I45" s="578"/>
      <c r="J45" s="578"/>
      <c r="K45" s="578"/>
      <c r="L45" s="578"/>
      <c r="M45" s="578"/>
      <c r="N45" s="578"/>
      <c r="O45" s="578"/>
      <c r="P45" s="578"/>
      <c r="Q45" s="578"/>
      <c r="R45" s="578"/>
      <c r="S45" s="578"/>
      <c r="T45" s="578"/>
      <c r="U45" s="578"/>
      <c r="V45" s="578"/>
      <c r="W45" s="578"/>
      <c r="X45" s="578"/>
      <c r="Y45" s="578"/>
      <c r="Z45" s="578"/>
      <c r="AA45" s="578"/>
      <c r="AB45" s="578"/>
      <c r="AC45" s="578"/>
      <c r="AD45" s="578"/>
      <c r="AE45" s="578"/>
      <c r="AF45" s="578"/>
      <c r="AG45" s="578"/>
      <c r="AH45" s="578"/>
      <c r="AI45" s="578"/>
      <c r="AJ45" s="578"/>
      <c r="AK45" s="578"/>
      <c r="AL45" s="578"/>
      <c r="AM45" s="578"/>
      <c r="AN45" s="578"/>
      <c r="AO45" s="578"/>
      <c r="AP45" s="578"/>
      <c r="AQ45" s="578"/>
      <c r="AR45" s="578"/>
      <c r="AS45" s="578"/>
      <c r="AT45" s="578"/>
      <c r="AU45" s="578"/>
      <c r="AV45" s="578"/>
      <c r="AW45" s="578"/>
      <c r="AX45" s="578"/>
      <c r="AY45" s="578"/>
      <c r="AZ45" s="578"/>
      <c r="BA45" s="578"/>
      <c r="BB45" s="578"/>
      <c r="BC45" s="578"/>
      <c r="BD45" s="578"/>
      <c r="BE45" s="578"/>
      <c r="BF45" s="578"/>
      <c r="BG45" s="578"/>
      <c r="BH45" s="578"/>
      <c r="BI45" s="578"/>
      <c r="BJ45" s="578"/>
      <c r="BK45" s="578"/>
      <c r="BL45" s="578"/>
      <c r="BM45" s="578"/>
      <c r="BN45" s="578"/>
      <c r="BO45" s="578"/>
      <c r="BP45" s="578"/>
      <c r="BQ45" s="578"/>
      <c r="BR45" s="578"/>
      <c r="BS45" s="578"/>
      <c r="BT45" s="578"/>
      <c r="BU45" s="578"/>
      <c r="BV45" s="578"/>
      <c r="BW45" s="578"/>
    </row>
    <row r="47" spans="1:75" ht="13.5" thickBot="1" x14ac:dyDescent="0.25">
      <c r="C47" s="846" t="s">
        <v>346</v>
      </c>
      <c r="D47" s="847"/>
      <c r="E47" s="564" t="s">
        <v>698</v>
      </c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  <c r="S47" s="565"/>
      <c r="T47" s="565"/>
      <c r="U47" s="565"/>
      <c r="V47" s="565"/>
      <c r="W47" s="565"/>
      <c r="X47" s="565"/>
      <c r="Y47" s="565"/>
      <c r="Z47" s="565"/>
      <c r="AA47" s="565"/>
      <c r="AB47" s="565"/>
      <c r="AC47" s="565"/>
      <c r="AD47" s="565"/>
      <c r="AE47" s="565"/>
      <c r="AF47" s="565"/>
      <c r="AG47" s="565"/>
      <c r="AH47" s="565"/>
      <c r="AI47" s="565"/>
      <c r="AJ47" s="565"/>
      <c r="AK47" s="565"/>
      <c r="AL47" s="565"/>
      <c r="AM47" s="565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5"/>
      <c r="BA47" s="565"/>
      <c r="BB47" s="565"/>
      <c r="BC47" s="565"/>
      <c r="BD47" s="565"/>
      <c r="BE47" s="565"/>
      <c r="BF47" s="565"/>
      <c r="BG47" s="565"/>
      <c r="BH47" s="565"/>
      <c r="BI47" s="565"/>
      <c r="BJ47" s="565"/>
      <c r="BK47" s="565"/>
      <c r="BL47" s="565"/>
      <c r="BM47" s="565"/>
      <c r="BN47" s="565"/>
      <c r="BO47" s="565"/>
      <c r="BP47" s="565"/>
      <c r="BQ47" s="565"/>
      <c r="BR47" s="565"/>
      <c r="BS47" s="565"/>
      <c r="BT47" s="565"/>
      <c r="BU47" s="565"/>
      <c r="BV47" s="565"/>
      <c r="BW47" s="565"/>
    </row>
    <row r="48" spans="1:75" s="136" customFormat="1" ht="19.5" thickBot="1" x14ac:dyDescent="0.35">
      <c r="A48" s="690" t="s">
        <v>3589</v>
      </c>
      <c r="C48" s="566" t="s">
        <v>699</v>
      </c>
      <c r="D48" s="567" t="s">
        <v>700</v>
      </c>
      <c r="E48" s="568" t="str">
        <f>'CT (CTR)'!G140</f>
        <v>CT-016</v>
      </c>
      <c r="F48" s="568" t="str">
        <f>'CT (CTR)'!H140</f>
        <v>CT-017</v>
      </c>
      <c r="G48" s="568" t="str">
        <f>'CT (CTR)'!I140</f>
        <v>CT-018</v>
      </c>
      <c r="H48" s="568">
        <f>'CT (CTR)'!J140</f>
        <v>0</v>
      </c>
      <c r="I48" s="568">
        <f>'CT (CTR)'!K140</f>
        <v>0</v>
      </c>
      <c r="J48" s="568">
        <f>'CT (CTR)'!L140</f>
        <v>0</v>
      </c>
      <c r="K48" s="568">
        <f>'CT (CTR)'!M140</f>
        <v>0</v>
      </c>
      <c r="L48" s="568">
        <f>'CT (CTR)'!N140</f>
        <v>0</v>
      </c>
      <c r="M48" s="568">
        <f>'CT (CTR)'!O140</f>
        <v>0</v>
      </c>
      <c r="N48" s="568">
        <f>'CT (CTR)'!P140</f>
        <v>0</v>
      </c>
      <c r="O48" s="568">
        <f>'CT (CTR)'!Q140</f>
        <v>0</v>
      </c>
      <c r="P48" s="568">
        <f>'CT (CTR)'!R140</f>
        <v>0</v>
      </c>
      <c r="Q48" s="568">
        <f>'CT (CTR)'!S140</f>
        <v>0</v>
      </c>
      <c r="R48" s="568">
        <f>'CT (CTR)'!T140</f>
        <v>0</v>
      </c>
      <c r="S48" s="568">
        <f>'CT (CTR)'!U140</f>
        <v>0</v>
      </c>
      <c r="T48" s="568">
        <f>'CT (CTR)'!V140</f>
        <v>0</v>
      </c>
      <c r="U48" s="568">
        <f>'CT (CTR)'!W140</f>
        <v>0</v>
      </c>
      <c r="V48" s="568">
        <f>'CT (CTR)'!X140</f>
        <v>0</v>
      </c>
      <c r="W48" s="568">
        <f>'CT (CTR)'!Y140</f>
        <v>0</v>
      </c>
      <c r="X48" s="568">
        <f>'CT (CTR)'!Z140</f>
        <v>0</v>
      </c>
      <c r="Y48" s="568">
        <f>'CT (CTR)'!AA140</f>
        <v>0</v>
      </c>
      <c r="Z48" s="568">
        <f>'CT (CTR)'!AB140</f>
        <v>0</v>
      </c>
      <c r="AA48" s="568">
        <f>'CT (CTR)'!AC140</f>
        <v>0</v>
      </c>
      <c r="AB48" s="568">
        <f>'CT (CTR)'!AD140</f>
        <v>0</v>
      </c>
      <c r="AC48" s="568">
        <f>'CT (CTR)'!AE140</f>
        <v>0</v>
      </c>
      <c r="AD48" s="579"/>
      <c r="AE48" s="579"/>
      <c r="AF48" s="579"/>
      <c r="AG48" s="579"/>
      <c r="AH48" s="580"/>
      <c r="AI48" s="581"/>
      <c r="AJ48" s="582"/>
      <c r="AK48" s="582"/>
      <c r="AL48" s="582"/>
      <c r="AM48" s="582"/>
      <c r="AN48" s="582"/>
      <c r="AO48" s="582"/>
      <c r="AP48" s="582"/>
      <c r="AQ48" s="582"/>
      <c r="AR48" s="582"/>
      <c r="AS48" s="582"/>
      <c r="AT48" s="582"/>
      <c r="AU48" s="582"/>
      <c r="AV48" s="582"/>
      <c r="AW48" s="582"/>
      <c r="AX48" s="582"/>
      <c r="AY48" s="582"/>
      <c r="AZ48" s="582"/>
      <c r="BA48" s="582"/>
      <c r="BB48" s="582"/>
      <c r="BC48" s="582"/>
      <c r="BD48" s="582"/>
      <c r="BE48" s="582"/>
      <c r="BF48" s="582"/>
      <c r="BG48" s="582"/>
      <c r="BH48" s="582"/>
      <c r="BI48" s="582"/>
      <c r="BJ48" s="582"/>
      <c r="BK48" s="582"/>
      <c r="BL48" s="583"/>
      <c r="BM48" s="568"/>
      <c r="BN48" s="579"/>
      <c r="BO48" s="579"/>
      <c r="BP48" s="579"/>
      <c r="BQ48" s="579"/>
      <c r="BR48" s="579"/>
      <c r="BS48" s="579"/>
      <c r="BT48" s="579"/>
      <c r="BU48" s="579"/>
      <c r="BV48" s="579"/>
      <c r="BW48" s="579"/>
    </row>
    <row r="49" spans="1:75" x14ac:dyDescent="0.2">
      <c r="A49" s="683" t="s">
        <v>549</v>
      </c>
      <c r="B49" s="571">
        <f>B13</f>
        <v>0.75</v>
      </c>
      <c r="C49" s="566" t="s">
        <v>356</v>
      </c>
      <c r="D49" s="569">
        <v>1</v>
      </c>
      <c r="E49" s="570">
        <f>'CT (CTR)'!G142</f>
        <v>1.7960942996085799E-3</v>
      </c>
      <c r="F49" s="570">
        <f>'CT (CTR)'!H142</f>
        <v>1.16030870682679E-4</v>
      </c>
      <c r="G49" s="570">
        <f>'CT (CTR)'!I142</f>
        <v>3.2798589267631099E-3</v>
      </c>
      <c r="H49" s="570">
        <f>'CT (CTR)'!J142</f>
        <v>0</v>
      </c>
      <c r="I49" s="570">
        <f>'CT (CTR)'!K142</f>
        <v>0</v>
      </c>
      <c r="J49" s="570">
        <f>'CT (CTR)'!L142</f>
        <v>0</v>
      </c>
      <c r="K49" s="570">
        <f>'CT (CTR)'!M142</f>
        <v>0</v>
      </c>
      <c r="L49" s="570">
        <f>'CT (CTR)'!N142</f>
        <v>0</v>
      </c>
      <c r="M49" s="570">
        <f>'CT (CTR)'!O142</f>
        <v>0</v>
      </c>
      <c r="N49" s="570">
        <f>'CT (CTR)'!P142</f>
        <v>0</v>
      </c>
      <c r="O49" s="570">
        <f>'CT (CTR)'!Q142</f>
        <v>0</v>
      </c>
      <c r="P49" s="570">
        <f>'CT (CTR)'!R142</f>
        <v>0</v>
      </c>
      <c r="Q49" s="570">
        <f>'CT (CTR)'!S142</f>
        <v>0</v>
      </c>
      <c r="R49" s="570">
        <f>'CT (CTR)'!T142</f>
        <v>0</v>
      </c>
      <c r="S49" s="570">
        <f>'CT (CTR)'!U142</f>
        <v>0</v>
      </c>
      <c r="T49" s="570">
        <f>'CT (CTR)'!V142</f>
        <v>0</v>
      </c>
      <c r="U49" s="570">
        <f>'CT (CTR)'!W142</f>
        <v>0</v>
      </c>
      <c r="V49" s="570">
        <f>'CT (CTR)'!X142</f>
        <v>0</v>
      </c>
      <c r="W49" s="570">
        <f>'CT (CTR)'!Y142</f>
        <v>0</v>
      </c>
      <c r="X49" s="570">
        <f>'CT (CTR)'!Z142</f>
        <v>0</v>
      </c>
      <c r="Y49" s="570">
        <f>'CT (CTR)'!AA142</f>
        <v>0</v>
      </c>
      <c r="Z49" s="570">
        <f>'CT (CTR)'!AB142</f>
        <v>0</v>
      </c>
      <c r="AA49" s="570">
        <f>'CT (CTR)'!AC142</f>
        <v>0</v>
      </c>
      <c r="AB49" s="570">
        <f>'CT (CTR)'!AD142</f>
        <v>0</v>
      </c>
      <c r="AC49" s="570">
        <f>'CT (CTR)'!AE142</f>
        <v>0</v>
      </c>
      <c r="AD49" s="570"/>
      <c r="AE49" s="570"/>
      <c r="AF49" s="570"/>
      <c r="AG49" s="570"/>
      <c r="AH49" s="570"/>
      <c r="AI49" s="570"/>
      <c r="AJ49" s="570"/>
      <c r="AK49" s="570"/>
      <c r="AL49" s="570"/>
      <c r="AM49" s="570"/>
      <c r="AN49" s="570"/>
      <c r="AO49" s="570"/>
      <c r="AP49" s="570"/>
      <c r="AQ49" s="570"/>
      <c r="AR49" s="570"/>
      <c r="AS49" s="570"/>
      <c r="AT49" s="570"/>
      <c r="AU49" s="570"/>
      <c r="AV49" s="570"/>
      <c r="AW49" s="570"/>
      <c r="AX49" s="570"/>
      <c r="AY49" s="570"/>
      <c r="AZ49" s="570"/>
      <c r="BA49" s="570"/>
      <c r="BB49" s="570"/>
      <c r="BC49" s="570"/>
      <c r="BD49" s="570"/>
      <c r="BE49" s="570"/>
      <c r="BF49" s="570"/>
      <c r="BG49" s="570"/>
      <c r="BH49" s="570"/>
      <c r="BI49" s="570"/>
      <c r="BJ49" s="570"/>
      <c r="BK49" s="570"/>
      <c r="BL49" s="570"/>
      <c r="BM49" s="570"/>
      <c r="BN49" s="570"/>
      <c r="BO49" s="570"/>
      <c r="BP49" s="570"/>
      <c r="BQ49" s="570"/>
      <c r="BR49" s="570"/>
      <c r="BS49" s="570"/>
      <c r="BT49" s="570"/>
      <c r="BU49" s="570"/>
      <c r="BV49" s="570"/>
      <c r="BW49" s="570"/>
    </row>
    <row r="50" spans="1:75" x14ac:dyDescent="0.2">
      <c r="A50" s="684" t="s">
        <v>549</v>
      </c>
      <c r="B50" s="571">
        <f>B49+$D$3</f>
        <v>0.79166666666666663</v>
      </c>
      <c r="C50" s="566" t="s">
        <v>356</v>
      </c>
      <c r="D50" s="569">
        <v>2</v>
      </c>
      <c r="E50" s="570">
        <f>'CT (CTR)'!G143</f>
        <v>1.7547682360777601E-3</v>
      </c>
      <c r="F50" s="570">
        <f>'CT (CTR)'!H143</f>
        <v>4.8319705051416798E-4</v>
      </c>
      <c r="G50" s="570">
        <f>'CT (CTR)'!I143</f>
        <v>3.4252948811119401E-3</v>
      </c>
      <c r="H50" s="570">
        <f>'CT (CTR)'!J143</f>
        <v>0</v>
      </c>
      <c r="I50" s="570">
        <f>'CT (CTR)'!K143</f>
        <v>0</v>
      </c>
      <c r="J50" s="570">
        <f>'CT (CTR)'!L143</f>
        <v>0</v>
      </c>
      <c r="K50" s="570">
        <f>'CT (CTR)'!M143</f>
        <v>0</v>
      </c>
      <c r="L50" s="570">
        <f>'CT (CTR)'!N143</f>
        <v>0</v>
      </c>
      <c r="M50" s="570">
        <f>'CT (CTR)'!O143</f>
        <v>0</v>
      </c>
      <c r="N50" s="570">
        <f>'CT (CTR)'!P143</f>
        <v>0</v>
      </c>
      <c r="O50" s="570">
        <f>'CT (CTR)'!Q143</f>
        <v>0</v>
      </c>
      <c r="P50" s="570">
        <f>'CT (CTR)'!R143</f>
        <v>0</v>
      </c>
      <c r="Q50" s="570">
        <f>'CT (CTR)'!S143</f>
        <v>0</v>
      </c>
      <c r="R50" s="570">
        <f>'CT (CTR)'!T143</f>
        <v>0</v>
      </c>
      <c r="S50" s="570">
        <f>'CT (CTR)'!U143</f>
        <v>0</v>
      </c>
      <c r="T50" s="570">
        <f>'CT (CTR)'!V143</f>
        <v>0</v>
      </c>
      <c r="U50" s="570">
        <f>'CT (CTR)'!W143</f>
        <v>0</v>
      </c>
      <c r="V50" s="570">
        <f>'CT (CTR)'!X143</f>
        <v>0</v>
      </c>
      <c r="W50" s="570">
        <f>'CT (CTR)'!Y143</f>
        <v>0</v>
      </c>
      <c r="X50" s="570">
        <f>'CT (CTR)'!Z143</f>
        <v>0</v>
      </c>
      <c r="Y50" s="570">
        <f>'CT (CTR)'!AA143</f>
        <v>0</v>
      </c>
      <c r="Z50" s="570">
        <f>'CT (CTR)'!AB143</f>
        <v>0</v>
      </c>
      <c r="AA50" s="570">
        <f>'CT (CTR)'!AC143</f>
        <v>0</v>
      </c>
      <c r="AB50" s="570">
        <f>'CT (CTR)'!AD143</f>
        <v>0</v>
      </c>
      <c r="AC50" s="570">
        <f>'CT (CTR)'!AE143</f>
        <v>0</v>
      </c>
      <c r="AD50" s="570"/>
      <c r="AE50" s="570"/>
      <c r="AF50" s="570"/>
      <c r="AG50" s="570"/>
      <c r="AH50" s="570"/>
      <c r="AI50" s="570"/>
      <c r="AJ50" s="570"/>
      <c r="AK50" s="570"/>
      <c r="AL50" s="570"/>
      <c r="AM50" s="570"/>
      <c r="AN50" s="570"/>
      <c r="AO50" s="570"/>
      <c r="AP50" s="570"/>
      <c r="AQ50" s="570"/>
      <c r="AR50" s="570"/>
      <c r="AS50" s="570"/>
      <c r="AT50" s="570"/>
      <c r="AU50" s="570"/>
      <c r="AV50" s="570"/>
      <c r="AW50" s="570"/>
      <c r="AX50" s="570"/>
      <c r="AY50" s="570"/>
      <c r="AZ50" s="570"/>
      <c r="BA50" s="570"/>
      <c r="BB50" s="570"/>
      <c r="BC50" s="570"/>
      <c r="BD50" s="570"/>
      <c r="BE50" s="570"/>
      <c r="BF50" s="570"/>
      <c r="BG50" s="570"/>
      <c r="BH50" s="570"/>
      <c r="BI50" s="570"/>
      <c r="BJ50" s="570"/>
      <c r="BK50" s="570"/>
      <c r="BL50" s="570"/>
      <c r="BM50" s="570"/>
      <c r="BN50" s="570"/>
      <c r="BO50" s="570"/>
      <c r="BP50" s="570"/>
      <c r="BQ50" s="570"/>
      <c r="BR50" s="570"/>
      <c r="BS50" s="570"/>
      <c r="BT50" s="570"/>
      <c r="BU50" s="570"/>
      <c r="BV50" s="570"/>
      <c r="BW50" s="570"/>
    </row>
    <row r="51" spans="1:75" x14ac:dyDescent="0.2">
      <c r="A51" s="684" t="s">
        <v>549</v>
      </c>
      <c r="B51" s="571">
        <f t="shared" ref="B51:B72" si="12">B50+$D$3</f>
        <v>0.83333333333333326</v>
      </c>
      <c r="C51" s="566" t="s">
        <v>356</v>
      </c>
      <c r="D51" s="569">
        <v>3</v>
      </c>
      <c r="E51" s="570">
        <f>'CT (CTR)'!G144</f>
        <v>2.1664394074039799E-3</v>
      </c>
      <c r="F51" s="570">
        <f>'CT (CTR)'!H144</f>
        <v>1.07288818781929E-4</v>
      </c>
      <c r="G51" s="570">
        <f>'CT (CTR)'!I144</f>
        <v>1.44720695556957E-3</v>
      </c>
      <c r="H51" s="570">
        <f>'CT (CTR)'!J144</f>
        <v>0</v>
      </c>
      <c r="I51" s="570">
        <f>'CT (CTR)'!K144</f>
        <v>0</v>
      </c>
      <c r="J51" s="570">
        <f>'CT (CTR)'!L144</f>
        <v>0</v>
      </c>
      <c r="K51" s="570">
        <f>'CT (CTR)'!M144</f>
        <v>0</v>
      </c>
      <c r="L51" s="570">
        <f>'CT (CTR)'!N144</f>
        <v>0</v>
      </c>
      <c r="M51" s="570">
        <f>'CT (CTR)'!O144</f>
        <v>0</v>
      </c>
      <c r="N51" s="570">
        <f>'CT (CTR)'!P144</f>
        <v>0</v>
      </c>
      <c r="O51" s="570">
        <f>'CT (CTR)'!Q144</f>
        <v>0</v>
      </c>
      <c r="P51" s="570">
        <f>'CT (CTR)'!R144</f>
        <v>0</v>
      </c>
      <c r="Q51" s="570">
        <f>'CT (CTR)'!S144</f>
        <v>0</v>
      </c>
      <c r="R51" s="570">
        <f>'CT (CTR)'!T144</f>
        <v>0</v>
      </c>
      <c r="S51" s="570">
        <f>'CT (CTR)'!U144</f>
        <v>0</v>
      </c>
      <c r="T51" s="570">
        <f>'CT (CTR)'!V144</f>
        <v>0</v>
      </c>
      <c r="U51" s="570">
        <f>'CT (CTR)'!W144</f>
        <v>0</v>
      </c>
      <c r="V51" s="570">
        <f>'CT (CTR)'!X144</f>
        <v>0</v>
      </c>
      <c r="W51" s="570">
        <f>'CT (CTR)'!Y144</f>
        <v>0</v>
      </c>
      <c r="X51" s="570">
        <f>'CT (CTR)'!Z144</f>
        <v>0</v>
      </c>
      <c r="Y51" s="570">
        <f>'CT (CTR)'!AA144</f>
        <v>0</v>
      </c>
      <c r="Z51" s="570">
        <f>'CT (CTR)'!AB144</f>
        <v>0</v>
      </c>
      <c r="AA51" s="570">
        <f>'CT (CTR)'!AC144</f>
        <v>0</v>
      </c>
      <c r="AB51" s="570">
        <f>'CT (CTR)'!AD144</f>
        <v>0</v>
      </c>
      <c r="AC51" s="570">
        <f>'CT (CTR)'!AE144</f>
        <v>0</v>
      </c>
      <c r="AD51" s="570"/>
      <c r="AE51" s="570"/>
      <c r="AF51" s="570"/>
      <c r="AG51" s="570"/>
      <c r="AH51" s="570"/>
      <c r="AI51" s="570"/>
      <c r="AJ51" s="570"/>
      <c r="AK51" s="570"/>
      <c r="AL51" s="570"/>
      <c r="AM51" s="570"/>
      <c r="AN51" s="570"/>
      <c r="AO51" s="570"/>
      <c r="AP51" s="570"/>
      <c r="AQ51" s="570"/>
      <c r="AR51" s="570"/>
      <c r="AS51" s="570"/>
      <c r="AT51" s="570"/>
      <c r="AU51" s="570"/>
      <c r="AV51" s="570"/>
      <c r="AW51" s="570"/>
      <c r="AX51" s="570"/>
      <c r="AY51" s="570"/>
      <c r="AZ51" s="570"/>
      <c r="BA51" s="570"/>
      <c r="BB51" s="570"/>
      <c r="BC51" s="570"/>
      <c r="BD51" s="570"/>
      <c r="BE51" s="570"/>
      <c r="BF51" s="570"/>
      <c r="BG51" s="570"/>
      <c r="BH51" s="570"/>
      <c r="BI51" s="570"/>
      <c r="BJ51" s="570"/>
      <c r="BK51" s="570"/>
      <c r="BL51" s="570"/>
      <c r="BM51" s="570"/>
      <c r="BN51" s="570"/>
      <c r="BO51" s="570"/>
      <c r="BP51" s="570"/>
      <c r="BQ51" s="570"/>
      <c r="BR51" s="570"/>
      <c r="BS51" s="570"/>
      <c r="BT51" s="570"/>
      <c r="BU51" s="570"/>
      <c r="BV51" s="570"/>
      <c r="BW51" s="570"/>
    </row>
    <row r="52" spans="1:75" x14ac:dyDescent="0.2">
      <c r="A52" s="689" t="str">
        <f>A16</f>
        <v>INTERMED</v>
      </c>
      <c r="B52" s="571">
        <f t="shared" si="12"/>
        <v>0.87499999999999989</v>
      </c>
      <c r="C52" s="566" t="s">
        <v>358</v>
      </c>
      <c r="D52" s="569">
        <v>4</v>
      </c>
      <c r="E52" s="572">
        <f>'CT (CTR)'!G145</f>
        <v>2.37942758098588E-3</v>
      </c>
      <c r="F52" s="572">
        <f>'CT (CTR)'!H145</f>
        <v>2.9325610467060501E-4</v>
      </c>
      <c r="G52" s="572">
        <f>'CT (CTR)'!I145</f>
        <v>1.51396444281166E-3</v>
      </c>
      <c r="H52" s="572">
        <f>'CT (CTR)'!J145</f>
        <v>0</v>
      </c>
      <c r="I52" s="572">
        <f>'CT (CTR)'!K145</f>
        <v>0</v>
      </c>
      <c r="J52" s="572">
        <f>'CT (CTR)'!L145</f>
        <v>0</v>
      </c>
      <c r="K52" s="572">
        <f>'CT (CTR)'!M145</f>
        <v>0</v>
      </c>
      <c r="L52" s="572">
        <f>'CT (CTR)'!N145</f>
        <v>0</v>
      </c>
      <c r="M52" s="572">
        <f>'CT (CTR)'!O145</f>
        <v>0</v>
      </c>
      <c r="N52" s="572">
        <f>'CT (CTR)'!P145</f>
        <v>0</v>
      </c>
      <c r="O52" s="572">
        <f>'CT (CTR)'!Q145</f>
        <v>0</v>
      </c>
      <c r="P52" s="572">
        <f>'CT (CTR)'!R145</f>
        <v>0</v>
      </c>
      <c r="Q52" s="572">
        <f>'CT (CTR)'!S145</f>
        <v>0</v>
      </c>
      <c r="R52" s="572">
        <f>'CT (CTR)'!T145</f>
        <v>0</v>
      </c>
      <c r="S52" s="572">
        <f>'CT (CTR)'!U145</f>
        <v>0</v>
      </c>
      <c r="T52" s="572">
        <f>'CT (CTR)'!V145</f>
        <v>0</v>
      </c>
      <c r="U52" s="572">
        <f>'CT (CTR)'!W145</f>
        <v>0</v>
      </c>
      <c r="V52" s="572">
        <f>'CT (CTR)'!X145</f>
        <v>0</v>
      </c>
      <c r="W52" s="572">
        <f>'CT (CTR)'!Y145</f>
        <v>0</v>
      </c>
      <c r="X52" s="572">
        <f>'CT (CTR)'!Z145</f>
        <v>0</v>
      </c>
      <c r="Y52" s="572">
        <f>'CT (CTR)'!AA145</f>
        <v>0</v>
      </c>
      <c r="Z52" s="572">
        <f>'CT (CTR)'!AB145</f>
        <v>0</v>
      </c>
      <c r="AA52" s="572">
        <f>'CT (CTR)'!AC145</f>
        <v>0</v>
      </c>
      <c r="AB52" s="572">
        <f>'CT (CTR)'!AD145</f>
        <v>0</v>
      </c>
      <c r="AC52" s="572">
        <f>'CT (CTR)'!AE145</f>
        <v>0</v>
      </c>
      <c r="AD52" s="572"/>
      <c r="AE52" s="572"/>
      <c r="AF52" s="572"/>
      <c r="AG52" s="572"/>
      <c r="AH52" s="572"/>
      <c r="AI52" s="572"/>
      <c r="AJ52" s="572"/>
      <c r="AK52" s="572"/>
      <c r="AL52" s="572"/>
      <c r="AM52" s="572"/>
      <c r="AN52" s="572"/>
      <c r="AO52" s="572"/>
      <c r="AP52" s="572"/>
      <c r="AQ52" s="572"/>
      <c r="AR52" s="572"/>
      <c r="AS52" s="572"/>
      <c r="AT52" s="572"/>
      <c r="AU52" s="572"/>
      <c r="AV52" s="572"/>
      <c r="AW52" s="572"/>
      <c r="AX52" s="572"/>
      <c r="AY52" s="572"/>
      <c r="AZ52" s="572"/>
      <c r="BA52" s="572"/>
      <c r="BB52" s="572"/>
      <c r="BC52" s="572"/>
      <c r="BD52" s="572"/>
      <c r="BE52" s="572"/>
      <c r="BF52" s="572"/>
      <c r="BG52" s="572"/>
      <c r="BH52" s="572"/>
      <c r="BI52" s="572"/>
      <c r="BJ52" s="572"/>
      <c r="BK52" s="572"/>
      <c r="BL52" s="572"/>
      <c r="BM52" s="572"/>
      <c r="BN52" s="572"/>
      <c r="BO52" s="572"/>
      <c r="BP52" s="572"/>
      <c r="BQ52" s="572"/>
      <c r="BR52" s="572"/>
      <c r="BS52" s="572"/>
      <c r="BT52" s="572"/>
      <c r="BU52" s="572"/>
      <c r="BV52" s="572"/>
      <c r="BW52" s="572"/>
    </row>
    <row r="53" spans="1:75" x14ac:dyDescent="0.2">
      <c r="A53" s="689" t="str">
        <f t="shared" ref="A53:A72" si="13">A17</f>
        <v>FORA PONTA</v>
      </c>
      <c r="B53" s="571">
        <f t="shared" si="12"/>
        <v>0.91666666666666652</v>
      </c>
      <c r="C53" s="566" t="s">
        <v>358</v>
      </c>
      <c r="D53" s="569">
        <v>5</v>
      </c>
      <c r="E53" s="572">
        <f>'CT (CTR)'!G146</f>
        <v>1.24772922583428E-3</v>
      </c>
      <c r="F53" s="572">
        <f>'CT (CTR)'!H146</f>
        <v>3.4491368408412498E-4</v>
      </c>
      <c r="G53" s="572">
        <f>'CT (CTR)'!I146</f>
        <v>1.15395085089896E-3</v>
      </c>
      <c r="H53" s="572">
        <f>'CT (CTR)'!J146</f>
        <v>0</v>
      </c>
      <c r="I53" s="572">
        <f>'CT (CTR)'!K146</f>
        <v>0</v>
      </c>
      <c r="J53" s="572">
        <f>'CT (CTR)'!L146</f>
        <v>0</v>
      </c>
      <c r="K53" s="572">
        <f>'CT (CTR)'!M146</f>
        <v>0</v>
      </c>
      <c r="L53" s="572">
        <f>'CT (CTR)'!N146</f>
        <v>0</v>
      </c>
      <c r="M53" s="572">
        <f>'CT (CTR)'!O146</f>
        <v>0</v>
      </c>
      <c r="N53" s="572">
        <f>'CT (CTR)'!P146</f>
        <v>0</v>
      </c>
      <c r="O53" s="572">
        <f>'CT (CTR)'!Q146</f>
        <v>0</v>
      </c>
      <c r="P53" s="572">
        <f>'CT (CTR)'!R146</f>
        <v>0</v>
      </c>
      <c r="Q53" s="572">
        <f>'CT (CTR)'!S146</f>
        <v>0</v>
      </c>
      <c r="R53" s="572">
        <f>'CT (CTR)'!T146</f>
        <v>0</v>
      </c>
      <c r="S53" s="572">
        <f>'CT (CTR)'!U146</f>
        <v>0</v>
      </c>
      <c r="T53" s="572">
        <f>'CT (CTR)'!V146</f>
        <v>0</v>
      </c>
      <c r="U53" s="572">
        <f>'CT (CTR)'!W146</f>
        <v>0</v>
      </c>
      <c r="V53" s="572">
        <f>'CT (CTR)'!X146</f>
        <v>0</v>
      </c>
      <c r="W53" s="572">
        <f>'CT (CTR)'!Y146</f>
        <v>0</v>
      </c>
      <c r="X53" s="572">
        <f>'CT (CTR)'!Z146</f>
        <v>0</v>
      </c>
      <c r="Y53" s="572">
        <f>'CT (CTR)'!AA146</f>
        <v>0</v>
      </c>
      <c r="Z53" s="572">
        <f>'CT (CTR)'!AB146</f>
        <v>0</v>
      </c>
      <c r="AA53" s="572">
        <f>'CT (CTR)'!AC146</f>
        <v>0</v>
      </c>
      <c r="AB53" s="572">
        <f>'CT (CTR)'!AD146</f>
        <v>0</v>
      </c>
      <c r="AC53" s="572">
        <f>'CT (CTR)'!AE146</f>
        <v>0</v>
      </c>
      <c r="AD53" s="572"/>
      <c r="AE53" s="572"/>
      <c r="AF53" s="572"/>
      <c r="AG53" s="572"/>
      <c r="AH53" s="572"/>
      <c r="AI53" s="572"/>
      <c r="AJ53" s="572"/>
      <c r="AK53" s="572"/>
      <c r="AL53" s="572"/>
      <c r="AM53" s="572"/>
      <c r="AN53" s="572"/>
      <c r="AO53" s="572"/>
      <c r="AP53" s="572"/>
      <c r="AQ53" s="572"/>
      <c r="AR53" s="572"/>
      <c r="AS53" s="572"/>
      <c r="AT53" s="572"/>
      <c r="AU53" s="572"/>
      <c r="AV53" s="572"/>
      <c r="AW53" s="572"/>
      <c r="AX53" s="572"/>
      <c r="AY53" s="572"/>
      <c r="AZ53" s="572"/>
      <c r="BA53" s="572"/>
      <c r="BB53" s="572"/>
      <c r="BC53" s="572"/>
      <c r="BD53" s="572"/>
      <c r="BE53" s="572"/>
      <c r="BF53" s="572"/>
      <c r="BG53" s="572"/>
      <c r="BH53" s="572"/>
      <c r="BI53" s="572"/>
      <c r="BJ53" s="572"/>
      <c r="BK53" s="572"/>
      <c r="BL53" s="572"/>
      <c r="BM53" s="572"/>
      <c r="BN53" s="572"/>
      <c r="BO53" s="572"/>
      <c r="BP53" s="572"/>
      <c r="BQ53" s="572"/>
      <c r="BR53" s="572"/>
      <c r="BS53" s="572"/>
      <c r="BT53" s="572"/>
      <c r="BU53" s="572"/>
      <c r="BV53" s="572"/>
      <c r="BW53" s="572"/>
    </row>
    <row r="54" spans="1:75" x14ac:dyDescent="0.2">
      <c r="A54" s="689" t="str">
        <f t="shared" si="13"/>
        <v>FORA PONTA</v>
      </c>
      <c r="B54" s="571">
        <f t="shared" si="12"/>
        <v>0.95833333333333315</v>
      </c>
      <c r="C54" s="566" t="s">
        <v>358</v>
      </c>
      <c r="D54" s="569">
        <v>6</v>
      </c>
      <c r="E54" s="572">
        <f>'CT (CTR)'!G147</f>
        <v>8.5831055025542904E-4</v>
      </c>
      <c r="F54" s="572">
        <f>'CT (CTR)'!H147</f>
        <v>9.2983642944338395E-5</v>
      </c>
      <c r="G54" s="572">
        <f>'CT (CTR)'!I147</f>
        <v>1.6411215613680199E-3</v>
      </c>
      <c r="H54" s="572">
        <f>'CT (CTR)'!J147</f>
        <v>0</v>
      </c>
      <c r="I54" s="572">
        <f>'CT (CTR)'!K147</f>
        <v>0</v>
      </c>
      <c r="J54" s="572">
        <f>'CT (CTR)'!L147</f>
        <v>0</v>
      </c>
      <c r="K54" s="572">
        <f>'CT (CTR)'!M147</f>
        <v>0</v>
      </c>
      <c r="L54" s="572">
        <f>'CT (CTR)'!N147</f>
        <v>0</v>
      </c>
      <c r="M54" s="572">
        <f>'CT (CTR)'!O147</f>
        <v>0</v>
      </c>
      <c r="N54" s="572">
        <f>'CT (CTR)'!P147</f>
        <v>0</v>
      </c>
      <c r="O54" s="572">
        <f>'CT (CTR)'!Q147</f>
        <v>0</v>
      </c>
      <c r="P54" s="572">
        <f>'CT (CTR)'!R147</f>
        <v>0</v>
      </c>
      <c r="Q54" s="572">
        <f>'CT (CTR)'!S147</f>
        <v>0</v>
      </c>
      <c r="R54" s="572">
        <f>'CT (CTR)'!T147</f>
        <v>0</v>
      </c>
      <c r="S54" s="572">
        <f>'CT (CTR)'!U147</f>
        <v>0</v>
      </c>
      <c r="T54" s="572">
        <f>'CT (CTR)'!V147</f>
        <v>0</v>
      </c>
      <c r="U54" s="572">
        <f>'CT (CTR)'!W147</f>
        <v>0</v>
      </c>
      <c r="V54" s="572">
        <f>'CT (CTR)'!X147</f>
        <v>0</v>
      </c>
      <c r="W54" s="572">
        <f>'CT (CTR)'!Y147</f>
        <v>0</v>
      </c>
      <c r="X54" s="572">
        <f>'CT (CTR)'!Z147</f>
        <v>0</v>
      </c>
      <c r="Y54" s="572">
        <f>'CT (CTR)'!AA147</f>
        <v>0</v>
      </c>
      <c r="Z54" s="572">
        <f>'CT (CTR)'!AB147</f>
        <v>0</v>
      </c>
      <c r="AA54" s="572">
        <f>'CT (CTR)'!AC147</f>
        <v>0</v>
      </c>
      <c r="AB54" s="572">
        <f>'CT (CTR)'!AD147</f>
        <v>0</v>
      </c>
      <c r="AC54" s="572">
        <f>'CT (CTR)'!AE147</f>
        <v>0</v>
      </c>
      <c r="AD54" s="572"/>
      <c r="AE54" s="572"/>
      <c r="AF54" s="572"/>
      <c r="AG54" s="572"/>
      <c r="AH54" s="572"/>
      <c r="AI54" s="572"/>
      <c r="AJ54" s="572"/>
      <c r="AK54" s="572"/>
      <c r="AL54" s="572"/>
      <c r="AM54" s="572"/>
      <c r="AN54" s="572"/>
      <c r="AO54" s="572"/>
      <c r="AP54" s="572"/>
      <c r="AQ54" s="572"/>
      <c r="AR54" s="572"/>
      <c r="AS54" s="572"/>
      <c r="AT54" s="572"/>
      <c r="AU54" s="572"/>
      <c r="AV54" s="572"/>
      <c r="AW54" s="572"/>
      <c r="AX54" s="572"/>
      <c r="AY54" s="572"/>
      <c r="AZ54" s="572"/>
      <c r="BA54" s="572"/>
      <c r="BB54" s="572"/>
      <c r="BC54" s="572"/>
      <c r="BD54" s="572"/>
      <c r="BE54" s="572"/>
      <c r="BF54" s="572"/>
      <c r="BG54" s="572"/>
      <c r="BH54" s="572"/>
      <c r="BI54" s="572"/>
      <c r="BJ54" s="572"/>
      <c r="BK54" s="572"/>
      <c r="BL54" s="572"/>
      <c r="BM54" s="572"/>
      <c r="BN54" s="572"/>
      <c r="BO54" s="572"/>
      <c r="BP54" s="572"/>
      <c r="BQ54" s="572"/>
      <c r="BR54" s="572"/>
      <c r="BS54" s="572"/>
      <c r="BT54" s="572"/>
      <c r="BU54" s="572"/>
      <c r="BV54" s="572"/>
      <c r="BW54" s="572"/>
    </row>
    <row r="55" spans="1:75" x14ac:dyDescent="0.2">
      <c r="A55" s="689" t="str">
        <f t="shared" si="13"/>
        <v>FORA PONTA</v>
      </c>
      <c r="B55" s="571">
        <f t="shared" si="12"/>
        <v>0.99999999999999978</v>
      </c>
      <c r="C55" s="566" t="s">
        <v>358</v>
      </c>
      <c r="D55" s="569">
        <v>7</v>
      </c>
      <c r="E55" s="572">
        <f>'CT (CTR)'!G148</f>
        <v>5.4121248585550601E-4</v>
      </c>
      <c r="F55" s="572">
        <f>'CT (CTR)'!H148</f>
        <v>1.1523613869170101E-4</v>
      </c>
      <c r="G55" s="572">
        <f>'CT (CTR)'!I148</f>
        <v>1.0641461359185401E-3</v>
      </c>
      <c r="H55" s="572">
        <f>'CT (CTR)'!J148</f>
        <v>0</v>
      </c>
      <c r="I55" s="572">
        <f>'CT (CTR)'!K148</f>
        <v>0</v>
      </c>
      <c r="J55" s="572">
        <f>'CT (CTR)'!L148</f>
        <v>0</v>
      </c>
      <c r="K55" s="572">
        <f>'CT (CTR)'!M148</f>
        <v>0</v>
      </c>
      <c r="L55" s="572">
        <f>'CT (CTR)'!N148</f>
        <v>0</v>
      </c>
      <c r="M55" s="572">
        <f>'CT (CTR)'!O148</f>
        <v>0</v>
      </c>
      <c r="N55" s="572">
        <f>'CT (CTR)'!P148</f>
        <v>0</v>
      </c>
      <c r="O55" s="572">
        <f>'CT (CTR)'!Q148</f>
        <v>0</v>
      </c>
      <c r="P55" s="572">
        <f>'CT (CTR)'!R148</f>
        <v>0</v>
      </c>
      <c r="Q55" s="572">
        <f>'CT (CTR)'!S148</f>
        <v>0</v>
      </c>
      <c r="R55" s="572">
        <f>'CT (CTR)'!T148</f>
        <v>0</v>
      </c>
      <c r="S55" s="572">
        <f>'CT (CTR)'!U148</f>
        <v>0</v>
      </c>
      <c r="T55" s="572">
        <f>'CT (CTR)'!V148</f>
        <v>0</v>
      </c>
      <c r="U55" s="572">
        <f>'CT (CTR)'!W148</f>
        <v>0</v>
      </c>
      <c r="V55" s="572">
        <f>'CT (CTR)'!X148</f>
        <v>0</v>
      </c>
      <c r="W55" s="572">
        <f>'CT (CTR)'!Y148</f>
        <v>0</v>
      </c>
      <c r="X55" s="572">
        <f>'CT (CTR)'!Z148</f>
        <v>0</v>
      </c>
      <c r="Y55" s="572">
        <f>'CT (CTR)'!AA148</f>
        <v>0</v>
      </c>
      <c r="Z55" s="572">
        <f>'CT (CTR)'!AB148</f>
        <v>0</v>
      </c>
      <c r="AA55" s="572">
        <f>'CT (CTR)'!AC148</f>
        <v>0</v>
      </c>
      <c r="AB55" s="572">
        <f>'CT (CTR)'!AD148</f>
        <v>0</v>
      </c>
      <c r="AC55" s="572">
        <f>'CT (CTR)'!AE148</f>
        <v>0</v>
      </c>
      <c r="AD55" s="572"/>
      <c r="AE55" s="572"/>
      <c r="AF55" s="572"/>
      <c r="AG55" s="572"/>
      <c r="AH55" s="572"/>
      <c r="AI55" s="572"/>
      <c r="AJ55" s="572"/>
      <c r="AK55" s="572"/>
      <c r="AL55" s="572"/>
      <c r="AM55" s="572"/>
      <c r="AN55" s="572"/>
      <c r="AO55" s="572"/>
      <c r="AP55" s="572"/>
      <c r="AQ55" s="572"/>
      <c r="AR55" s="572"/>
      <c r="AS55" s="572"/>
      <c r="AT55" s="572"/>
      <c r="AU55" s="572"/>
      <c r="AV55" s="572"/>
      <c r="AW55" s="572"/>
      <c r="AX55" s="572"/>
      <c r="AY55" s="572"/>
      <c r="AZ55" s="572"/>
      <c r="BA55" s="572"/>
      <c r="BB55" s="572"/>
      <c r="BC55" s="572"/>
      <c r="BD55" s="572"/>
      <c r="BE55" s="572"/>
      <c r="BF55" s="572"/>
      <c r="BG55" s="572"/>
      <c r="BH55" s="572"/>
      <c r="BI55" s="572"/>
      <c r="BJ55" s="572"/>
      <c r="BK55" s="572"/>
      <c r="BL55" s="572"/>
      <c r="BM55" s="572"/>
      <c r="BN55" s="572"/>
      <c r="BO55" s="572"/>
      <c r="BP55" s="572"/>
      <c r="BQ55" s="572"/>
      <c r="BR55" s="572"/>
      <c r="BS55" s="572"/>
      <c r="BT55" s="572"/>
      <c r="BU55" s="572"/>
      <c r="BV55" s="572"/>
      <c r="BW55" s="572"/>
    </row>
    <row r="56" spans="1:75" x14ac:dyDescent="0.2">
      <c r="A56" s="689" t="str">
        <f t="shared" si="13"/>
        <v>FORA PONTA</v>
      </c>
      <c r="B56" s="571">
        <f t="shared" si="12"/>
        <v>1.0416666666666665</v>
      </c>
      <c r="C56" s="566" t="s">
        <v>358</v>
      </c>
      <c r="D56" s="569">
        <v>8</v>
      </c>
      <c r="E56" s="572">
        <f>'CT (CTR)'!G149</f>
        <v>4.8240231852319002E-4</v>
      </c>
      <c r="F56" s="572">
        <f>'CT (CTR)'!H149</f>
        <v>1.14441406700724E-4</v>
      </c>
      <c r="G56" s="572">
        <f>'CT (CTR)'!I149</f>
        <v>8.8692090193060802E-4</v>
      </c>
      <c r="H56" s="572">
        <f>'CT (CTR)'!J149</f>
        <v>0</v>
      </c>
      <c r="I56" s="572">
        <f>'CT (CTR)'!K149</f>
        <v>0</v>
      </c>
      <c r="J56" s="572">
        <f>'CT (CTR)'!L149</f>
        <v>0</v>
      </c>
      <c r="K56" s="572">
        <f>'CT (CTR)'!M149</f>
        <v>0</v>
      </c>
      <c r="L56" s="572">
        <f>'CT (CTR)'!N149</f>
        <v>0</v>
      </c>
      <c r="M56" s="572">
        <f>'CT (CTR)'!O149</f>
        <v>0</v>
      </c>
      <c r="N56" s="572">
        <f>'CT (CTR)'!P149</f>
        <v>0</v>
      </c>
      <c r="O56" s="572">
        <f>'CT (CTR)'!Q149</f>
        <v>0</v>
      </c>
      <c r="P56" s="572">
        <f>'CT (CTR)'!R149</f>
        <v>0</v>
      </c>
      <c r="Q56" s="572">
        <f>'CT (CTR)'!S149</f>
        <v>0</v>
      </c>
      <c r="R56" s="572">
        <f>'CT (CTR)'!T149</f>
        <v>0</v>
      </c>
      <c r="S56" s="572">
        <f>'CT (CTR)'!U149</f>
        <v>0</v>
      </c>
      <c r="T56" s="572">
        <f>'CT (CTR)'!V149</f>
        <v>0</v>
      </c>
      <c r="U56" s="572">
        <f>'CT (CTR)'!W149</f>
        <v>0</v>
      </c>
      <c r="V56" s="572">
        <f>'CT (CTR)'!X149</f>
        <v>0</v>
      </c>
      <c r="W56" s="572">
        <f>'CT (CTR)'!Y149</f>
        <v>0</v>
      </c>
      <c r="X56" s="572">
        <f>'CT (CTR)'!Z149</f>
        <v>0</v>
      </c>
      <c r="Y56" s="572">
        <f>'CT (CTR)'!AA149</f>
        <v>0</v>
      </c>
      <c r="Z56" s="572">
        <f>'CT (CTR)'!AB149</f>
        <v>0</v>
      </c>
      <c r="AA56" s="572">
        <f>'CT (CTR)'!AC149</f>
        <v>0</v>
      </c>
      <c r="AB56" s="572">
        <f>'CT (CTR)'!AD149</f>
        <v>0</v>
      </c>
      <c r="AC56" s="572">
        <f>'CT (CTR)'!AE149</f>
        <v>0</v>
      </c>
      <c r="AD56" s="572"/>
      <c r="AE56" s="572"/>
      <c r="AF56" s="572"/>
      <c r="AG56" s="572"/>
      <c r="AH56" s="572"/>
      <c r="AI56" s="572"/>
      <c r="AJ56" s="572"/>
      <c r="AK56" s="572"/>
      <c r="AL56" s="572"/>
      <c r="AM56" s="572"/>
      <c r="AN56" s="572"/>
      <c r="AO56" s="572"/>
      <c r="AP56" s="572"/>
      <c r="AQ56" s="572"/>
      <c r="AR56" s="572"/>
      <c r="AS56" s="572"/>
      <c r="AT56" s="572"/>
      <c r="AU56" s="572"/>
      <c r="AV56" s="572"/>
      <c r="AW56" s="572"/>
      <c r="AX56" s="572"/>
      <c r="AY56" s="572"/>
      <c r="AZ56" s="572"/>
      <c r="BA56" s="572"/>
      <c r="BB56" s="572"/>
      <c r="BC56" s="572"/>
      <c r="BD56" s="572"/>
      <c r="BE56" s="572"/>
      <c r="BF56" s="572"/>
      <c r="BG56" s="572"/>
      <c r="BH56" s="572"/>
      <c r="BI56" s="572"/>
      <c r="BJ56" s="572"/>
      <c r="BK56" s="572"/>
      <c r="BL56" s="572"/>
      <c r="BM56" s="572"/>
      <c r="BN56" s="572"/>
      <c r="BO56" s="572"/>
      <c r="BP56" s="572"/>
      <c r="BQ56" s="572"/>
      <c r="BR56" s="572"/>
      <c r="BS56" s="572"/>
      <c r="BT56" s="572"/>
      <c r="BU56" s="572"/>
      <c r="BV56" s="572"/>
      <c r="BW56" s="572"/>
    </row>
    <row r="57" spans="1:75" x14ac:dyDescent="0.2">
      <c r="A57" s="689" t="str">
        <f t="shared" si="13"/>
        <v>FORA PONTA</v>
      </c>
      <c r="B57" s="571">
        <f t="shared" si="12"/>
        <v>1.0833333333333333</v>
      </c>
      <c r="C57" s="566" t="s">
        <v>358</v>
      </c>
      <c r="D57" s="569">
        <v>9</v>
      </c>
      <c r="E57" s="572">
        <f>'CT (CTR)'!G150</f>
        <v>5.97638457214891E-4</v>
      </c>
      <c r="F57" s="572">
        <f>'CT (CTR)'!H150</f>
        <v>9.4573106926292897E-5</v>
      </c>
      <c r="G57" s="572">
        <f>'CT (CTR)'!I150</f>
        <v>9.3460482138924396E-4</v>
      </c>
      <c r="H57" s="572">
        <f>'CT (CTR)'!J150</f>
        <v>0</v>
      </c>
      <c r="I57" s="572">
        <f>'CT (CTR)'!K150</f>
        <v>0</v>
      </c>
      <c r="J57" s="572">
        <f>'CT (CTR)'!L150</f>
        <v>0</v>
      </c>
      <c r="K57" s="572">
        <f>'CT (CTR)'!M150</f>
        <v>0</v>
      </c>
      <c r="L57" s="572">
        <f>'CT (CTR)'!N150</f>
        <v>0</v>
      </c>
      <c r="M57" s="572">
        <f>'CT (CTR)'!O150</f>
        <v>0</v>
      </c>
      <c r="N57" s="572">
        <f>'CT (CTR)'!P150</f>
        <v>0</v>
      </c>
      <c r="O57" s="572">
        <f>'CT (CTR)'!Q150</f>
        <v>0</v>
      </c>
      <c r="P57" s="572">
        <f>'CT (CTR)'!R150</f>
        <v>0</v>
      </c>
      <c r="Q57" s="572">
        <f>'CT (CTR)'!S150</f>
        <v>0</v>
      </c>
      <c r="R57" s="572">
        <f>'CT (CTR)'!T150</f>
        <v>0</v>
      </c>
      <c r="S57" s="572">
        <f>'CT (CTR)'!U150</f>
        <v>0</v>
      </c>
      <c r="T57" s="572">
        <f>'CT (CTR)'!V150</f>
        <v>0</v>
      </c>
      <c r="U57" s="572">
        <f>'CT (CTR)'!W150</f>
        <v>0</v>
      </c>
      <c r="V57" s="572">
        <f>'CT (CTR)'!X150</f>
        <v>0</v>
      </c>
      <c r="W57" s="572">
        <f>'CT (CTR)'!Y150</f>
        <v>0</v>
      </c>
      <c r="X57" s="572">
        <f>'CT (CTR)'!Z150</f>
        <v>0</v>
      </c>
      <c r="Y57" s="572">
        <f>'CT (CTR)'!AA150</f>
        <v>0</v>
      </c>
      <c r="Z57" s="572">
        <f>'CT (CTR)'!AB150</f>
        <v>0</v>
      </c>
      <c r="AA57" s="572">
        <f>'CT (CTR)'!AC150</f>
        <v>0</v>
      </c>
      <c r="AB57" s="572">
        <f>'CT (CTR)'!AD150</f>
        <v>0</v>
      </c>
      <c r="AC57" s="572">
        <f>'CT (CTR)'!AE150</f>
        <v>0</v>
      </c>
      <c r="AD57" s="572"/>
      <c r="AE57" s="572"/>
      <c r="AF57" s="572"/>
      <c r="AG57" s="572"/>
      <c r="AH57" s="572"/>
      <c r="AI57" s="572"/>
      <c r="AJ57" s="572"/>
      <c r="AK57" s="572"/>
      <c r="AL57" s="572"/>
      <c r="AM57" s="572"/>
      <c r="AN57" s="572"/>
      <c r="AO57" s="572"/>
      <c r="AP57" s="572"/>
      <c r="AQ57" s="572"/>
      <c r="AR57" s="572"/>
      <c r="AS57" s="572"/>
      <c r="AT57" s="572"/>
      <c r="AU57" s="572"/>
      <c r="AV57" s="572"/>
      <c r="AW57" s="572"/>
      <c r="AX57" s="572"/>
      <c r="AY57" s="572"/>
      <c r="AZ57" s="572"/>
      <c r="BA57" s="572"/>
      <c r="BB57" s="572"/>
      <c r="BC57" s="572"/>
      <c r="BD57" s="572"/>
      <c r="BE57" s="572"/>
      <c r="BF57" s="572"/>
      <c r="BG57" s="572"/>
      <c r="BH57" s="572"/>
      <c r="BI57" s="572"/>
      <c r="BJ57" s="572"/>
      <c r="BK57" s="572"/>
      <c r="BL57" s="572"/>
      <c r="BM57" s="572"/>
      <c r="BN57" s="572"/>
      <c r="BO57" s="572"/>
      <c r="BP57" s="572"/>
      <c r="BQ57" s="572"/>
      <c r="BR57" s="572"/>
      <c r="BS57" s="572"/>
      <c r="BT57" s="572"/>
      <c r="BU57" s="572"/>
      <c r="BV57" s="572"/>
      <c r="BW57" s="572"/>
    </row>
    <row r="58" spans="1:75" x14ac:dyDescent="0.2">
      <c r="A58" s="689" t="str">
        <f t="shared" si="13"/>
        <v>FORA PONTA</v>
      </c>
      <c r="B58" s="571">
        <f t="shared" si="12"/>
        <v>1.125</v>
      </c>
      <c r="C58" s="566" t="s">
        <v>358</v>
      </c>
      <c r="D58" s="569">
        <v>10</v>
      </c>
      <c r="E58" s="572">
        <f>'CT (CTR)'!G151</f>
        <v>5.7935962142241395E-4</v>
      </c>
      <c r="F58" s="572">
        <f>'CT (CTR)'!H151</f>
        <v>1.10467746745838E-4</v>
      </c>
      <c r="G58" s="572">
        <f>'CT (CTR)'!I151</f>
        <v>9.2506803749751695E-4</v>
      </c>
      <c r="H58" s="572">
        <f>'CT (CTR)'!J151</f>
        <v>0</v>
      </c>
      <c r="I58" s="572">
        <f>'CT (CTR)'!K151</f>
        <v>0</v>
      </c>
      <c r="J58" s="572">
        <f>'CT (CTR)'!L151</f>
        <v>0</v>
      </c>
      <c r="K58" s="572">
        <f>'CT (CTR)'!M151</f>
        <v>0</v>
      </c>
      <c r="L58" s="572">
        <f>'CT (CTR)'!N151</f>
        <v>0</v>
      </c>
      <c r="M58" s="572">
        <f>'CT (CTR)'!O151</f>
        <v>0</v>
      </c>
      <c r="N58" s="572">
        <f>'CT (CTR)'!P151</f>
        <v>0</v>
      </c>
      <c r="O58" s="572">
        <f>'CT (CTR)'!Q151</f>
        <v>0</v>
      </c>
      <c r="P58" s="572">
        <f>'CT (CTR)'!R151</f>
        <v>0</v>
      </c>
      <c r="Q58" s="572">
        <f>'CT (CTR)'!S151</f>
        <v>0</v>
      </c>
      <c r="R58" s="572">
        <f>'CT (CTR)'!T151</f>
        <v>0</v>
      </c>
      <c r="S58" s="572">
        <f>'CT (CTR)'!U151</f>
        <v>0</v>
      </c>
      <c r="T58" s="572">
        <f>'CT (CTR)'!V151</f>
        <v>0</v>
      </c>
      <c r="U58" s="572">
        <f>'CT (CTR)'!W151</f>
        <v>0</v>
      </c>
      <c r="V58" s="572">
        <f>'CT (CTR)'!X151</f>
        <v>0</v>
      </c>
      <c r="W58" s="572">
        <f>'CT (CTR)'!Y151</f>
        <v>0</v>
      </c>
      <c r="X58" s="572">
        <f>'CT (CTR)'!Z151</f>
        <v>0</v>
      </c>
      <c r="Y58" s="572">
        <f>'CT (CTR)'!AA151</f>
        <v>0</v>
      </c>
      <c r="Z58" s="572">
        <f>'CT (CTR)'!AB151</f>
        <v>0</v>
      </c>
      <c r="AA58" s="572">
        <f>'CT (CTR)'!AC151</f>
        <v>0</v>
      </c>
      <c r="AB58" s="572">
        <f>'CT (CTR)'!AD151</f>
        <v>0</v>
      </c>
      <c r="AC58" s="572">
        <f>'CT (CTR)'!AE151</f>
        <v>0</v>
      </c>
      <c r="AD58" s="572"/>
      <c r="AE58" s="572"/>
      <c r="AF58" s="572"/>
      <c r="AG58" s="572"/>
      <c r="AH58" s="572"/>
      <c r="AI58" s="572"/>
      <c r="AJ58" s="572"/>
      <c r="AK58" s="572"/>
      <c r="AL58" s="572"/>
      <c r="AM58" s="572"/>
      <c r="AN58" s="572"/>
      <c r="AO58" s="572"/>
      <c r="AP58" s="572"/>
      <c r="AQ58" s="572"/>
      <c r="AR58" s="572"/>
      <c r="AS58" s="572"/>
      <c r="AT58" s="572"/>
      <c r="AU58" s="572"/>
      <c r="AV58" s="572"/>
      <c r="AW58" s="572"/>
      <c r="AX58" s="572"/>
      <c r="AY58" s="572"/>
      <c r="AZ58" s="572"/>
      <c r="BA58" s="572"/>
      <c r="BB58" s="572"/>
      <c r="BC58" s="572"/>
      <c r="BD58" s="572"/>
      <c r="BE58" s="572"/>
      <c r="BF58" s="572"/>
      <c r="BG58" s="572"/>
      <c r="BH58" s="572"/>
      <c r="BI58" s="572"/>
      <c r="BJ58" s="572"/>
      <c r="BK58" s="572"/>
      <c r="BL58" s="572"/>
      <c r="BM58" s="572"/>
      <c r="BN58" s="572"/>
      <c r="BO58" s="572"/>
      <c r="BP58" s="572"/>
      <c r="BQ58" s="572"/>
      <c r="BR58" s="572"/>
      <c r="BS58" s="572"/>
      <c r="BT58" s="572"/>
      <c r="BU58" s="572"/>
      <c r="BV58" s="572"/>
      <c r="BW58" s="572"/>
    </row>
    <row r="59" spans="1:75" x14ac:dyDescent="0.2">
      <c r="A59" s="689" t="str">
        <f t="shared" si="13"/>
        <v>FORA PONTA</v>
      </c>
      <c r="B59" s="571">
        <f t="shared" si="12"/>
        <v>1.1666666666666667</v>
      </c>
      <c r="C59" s="566" t="s">
        <v>358</v>
      </c>
      <c r="D59" s="569">
        <v>11</v>
      </c>
      <c r="E59" s="572">
        <f>'CT (CTR)'!G152</f>
        <v>5.7141230151264101E-4</v>
      </c>
      <c r="F59" s="572">
        <f>'CT (CTR)'!H152</f>
        <v>1.14441406700724E-4</v>
      </c>
      <c r="G59" s="572">
        <f>'CT (CTR)'!I152</f>
        <v>8.6864206613813195E-4</v>
      </c>
      <c r="H59" s="572">
        <f>'CT (CTR)'!J152</f>
        <v>0</v>
      </c>
      <c r="I59" s="572">
        <f>'CT (CTR)'!K152</f>
        <v>0</v>
      </c>
      <c r="J59" s="572">
        <f>'CT (CTR)'!L152</f>
        <v>0</v>
      </c>
      <c r="K59" s="572">
        <f>'CT (CTR)'!M152</f>
        <v>0</v>
      </c>
      <c r="L59" s="572">
        <f>'CT (CTR)'!N152</f>
        <v>0</v>
      </c>
      <c r="M59" s="572">
        <f>'CT (CTR)'!O152</f>
        <v>0</v>
      </c>
      <c r="N59" s="572">
        <f>'CT (CTR)'!P152</f>
        <v>0</v>
      </c>
      <c r="O59" s="572">
        <f>'CT (CTR)'!Q152</f>
        <v>0</v>
      </c>
      <c r="P59" s="572">
        <f>'CT (CTR)'!R152</f>
        <v>0</v>
      </c>
      <c r="Q59" s="572">
        <f>'CT (CTR)'!S152</f>
        <v>0</v>
      </c>
      <c r="R59" s="572">
        <f>'CT (CTR)'!T152</f>
        <v>0</v>
      </c>
      <c r="S59" s="572">
        <f>'CT (CTR)'!U152</f>
        <v>0</v>
      </c>
      <c r="T59" s="572">
        <f>'CT (CTR)'!V152</f>
        <v>0</v>
      </c>
      <c r="U59" s="572">
        <f>'CT (CTR)'!W152</f>
        <v>0</v>
      </c>
      <c r="V59" s="572">
        <f>'CT (CTR)'!X152</f>
        <v>0</v>
      </c>
      <c r="W59" s="572">
        <f>'CT (CTR)'!Y152</f>
        <v>0</v>
      </c>
      <c r="X59" s="572">
        <f>'CT (CTR)'!Z152</f>
        <v>0</v>
      </c>
      <c r="Y59" s="572">
        <f>'CT (CTR)'!AA152</f>
        <v>0</v>
      </c>
      <c r="Z59" s="572">
        <f>'CT (CTR)'!AB152</f>
        <v>0</v>
      </c>
      <c r="AA59" s="572">
        <f>'CT (CTR)'!AC152</f>
        <v>0</v>
      </c>
      <c r="AB59" s="572">
        <f>'CT (CTR)'!AD152</f>
        <v>0</v>
      </c>
      <c r="AC59" s="572">
        <f>'CT (CTR)'!AE152</f>
        <v>0</v>
      </c>
      <c r="AD59" s="572"/>
      <c r="AE59" s="572"/>
      <c r="AF59" s="572"/>
      <c r="AG59" s="572"/>
      <c r="AH59" s="572"/>
      <c r="AI59" s="572"/>
      <c r="AJ59" s="572"/>
      <c r="AK59" s="572"/>
      <c r="AL59" s="572"/>
      <c r="AM59" s="572"/>
      <c r="AN59" s="572"/>
      <c r="AO59" s="572"/>
      <c r="AP59" s="572"/>
      <c r="AQ59" s="572"/>
      <c r="AR59" s="572"/>
      <c r="AS59" s="572"/>
      <c r="AT59" s="572"/>
      <c r="AU59" s="572"/>
      <c r="AV59" s="572"/>
      <c r="AW59" s="572"/>
      <c r="AX59" s="572"/>
      <c r="AY59" s="572"/>
      <c r="AZ59" s="572"/>
      <c r="BA59" s="572"/>
      <c r="BB59" s="572"/>
      <c r="BC59" s="572"/>
      <c r="BD59" s="572"/>
      <c r="BE59" s="572"/>
      <c r="BF59" s="572"/>
      <c r="BG59" s="572"/>
      <c r="BH59" s="572"/>
      <c r="BI59" s="572"/>
      <c r="BJ59" s="572"/>
      <c r="BK59" s="572"/>
      <c r="BL59" s="572"/>
      <c r="BM59" s="572"/>
      <c r="BN59" s="572"/>
      <c r="BO59" s="572"/>
      <c r="BP59" s="572"/>
      <c r="BQ59" s="572"/>
      <c r="BR59" s="572"/>
      <c r="BS59" s="572"/>
      <c r="BT59" s="572"/>
      <c r="BU59" s="572"/>
      <c r="BV59" s="572"/>
      <c r="BW59" s="572"/>
    </row>
    <row r="60" spans="1:75" x14ac:dyDescent="0.2">
      <c r="A60" s="689" t="str">
        <f t="shared" si="13"/>
        <v>FORA PONTA</v>
      </c>
      <c r="B60" s="571">
        <f t="shared" si="12"/>
        <v>1.2083333333333335</v>
      </c>
      <c r="C60" s="566" t="s">
        <v>358</v>
      </c>
      <c r="D60" s="569">
        <v>12</v>
      </c>
      <c r="E60" s="572">
        <f>'CT (CTR)'!G153</f>
        <v>4.6094455476680403E-4</v>
      </c>
      <c r="F60" s="572">
        <f>'CT (CTR)'!H153</f>
        <v>1.08083550772906E-4</v>
      </c>
      <c r="G60" s="572">
        <f>'CT (CTR)'!I153</f>
        <v>9.4255214129901799E-4</v>
      </c>
      <c r="H60" s="572">
        <f>'CT (CTR)'!J153</f>
        <v>0</v>
      </c>
      <c r="I60" s="572">
        <f>'CT (CTR)'!K153</f>
        <v>0</v>
      </c>
      <c r="J60" s="572">
        <f>'CT (CTR)'!L153</f>
        <v>0</v>
      </c>
      <c r="K60" s="572">
        <f>'CT (CTR)'!M153</f>
        <v>0</v>
      </c>
      <c r="L60" s="572">
        <f>'CT (CTR)'!N153</f>
        <v>0</v>
      </c>
      <c r="M60" s="572">
        <f>'CT (CTR)'!O153</f>
        <v>0</v>
      </c>
      <c r="N60" s="572">
        <f>'CT (CTR)'!P153</f>
        <v>0</v>
      </c>
      <c r="O60" s="572">
        <f>'CT (CTR)'!Q153</f>
        <v>0</v>
      </c>
      <c r="P60" s="572">
        <f>'CT (CTR)'!R153</f>
        <v>0</v>
      </c>
      <c r="Q60" s="572">
        <f>'CT (CTR)'!S153</f>
        <v>0</v>
      </c>
      <c r="R60" s="572">
        <f>'CT (CTR)'!T153</f>
        <v>0</v>
      </c>
      <c r="S60" s="572">
        <f>'CT (CTR)'!U153</f>
        <v>0</v>
      </c>
      <c r="T60" s="572">
        <f>'CT (CTR)'!V153</f>
        <v>0</v>
      </c>
      <c r="U60" s="572">
        <f>'CT (CTR)'!W153</f>
        <v>0</v>
      </c>
      <c r="V60" s="572">
        <f>'CT (CTR)'!X153</f>
        <v>0</v>
      </c>
      <c r="W60" s="572">
        <f>'CT (CTR)'!Y153</f>
        <v>0</v>
      </c>
      <c r="X60" s="572">
        <f>'CT (CTR)'!Z153</f>
        <v>0</v>
      </c>
      <c r="Y60" s="572">
        <f>'CT (CTR)'!AA153</f>
        <v>0</v>
      </c>
      <c r="Z60" s="572">
        <f>'CT (CTR)'!AB153</f>
        <v>0</v>
      </c>
      <c r="AA60" s="572">
        <f>'CT (CTR)'!AC153</f>
        <v>0</v>
      </c>
      <c r="AB60" s="572">
        <f>'CT (CTR)'!AD153</f>
        <v>0</v>
      </c>
      <c r="AC60" s="572">
        <f>'CT (CTR)'!AE153</f>
        <v>0</v>
      </c>
      <c r="AD60" s="572"/>
      <c r="AE60" s="572"/>
      <c r="AF60" s="572"/>
      <c r="AG60" s="572"/>
      <c r="AH60" s="572"/>
      <c r="AI60" s="572"/>
      <c r="AJ60" s="572"/>
      <c r="AK60" s="572"/>
      <c r="AL60" s="572"/>
      <c r="AM60" s="572"/>
      <c r="AN60" s="572"/>
      <c r="AO60" s="572"/>
      <c r="AP60" s="572"/>
      <c r="AQ60" s="572"/>
      <c r="AR60" s="572"/>
      <c r="AS60" s="572"/>
      <c r="AT60" s="572"/>
      <c r="AU60" s="572"/>
      <c r="AV60" s="572"/>
      <c r="AW60" s="572"/>
      <c r="AX60" s="572"/>
      <c r="AY60" s="572"/>
      <c r="AZ60" s="572"/>
      <c r="BA60" s="572"/>
      <c r="BB60" s="572"/>
      <c r="BC60" s="572"/>
      <c r="BD60" s="572"/>
      <c r="BE60" s="572"/>
      <c r="BF60" s="572"/>
      <c r="BG60" s="572"/>
      <c r="BH60" s="572"/>
      <c r="BI60" s="572"/>
      <c r="BJ60" s="572"/>
      <c r="BK60" s="572"/>
      <c r="BL60" s="572"/>
      <c r="BM60" s="572"/>
      <c r="BN60" s="572"/>
      <c r="BO60" s="572"/>
      <c r="BP60" s="572"/>
      <c r="BQ60" s="572"/>
      <c r="BR60" s="572"/>
      <c r="BS60" s="572"/>
      <c r="BT60" s="572"/>
      <c r="BU60" s="572"/>
      <c r="BV60" s="572"/>
      <c r="BW60" s="572"/>
    </row>
    <row r="61" spans="1:75" x14ac:dyDescent="0.2">
      <c r="A61" s="689" t="str">
        <f t="shared" si="13"/>
        <v>FORA PONTA</v>
      </c>
      <c r="B61" s="571">
        <f t="shared" si="12"/>
        <v>1.2500000000000002</v>
      </c>
      <c r="C61" s="566" t="s">
        <v>358</v>
      </c>
      <c r="D61" s="569">
        <v>13</v>
      </c>
      <c r="E61" s="572">
        <f>'CT (CTR)'!G154</f>
        <v>6.6598540843893503E-4</v>
      </c>
      <c r="F61" s="572">
        <f>'CT (CTR)'!H154</f>
        <v>9.2983642944338395E-5</v>
      </c>
      <c r="G61" s="572">
        <f>'CT (CTR)'!I154</f>
        <v>1.46945945131693E-3</v>
      </c>
      <c r="H61" s="572">
        <f>'CT (CTR)'!J154</f>
        <v>0</v>
      </c>
      <c r="I61" s="572">
        <f>'CT (CTR)'!K154</f>
        <v>0</v>
      </c>
      <c r="J61" s="572">
        <f>'CT (CTR)'!L154</f>
        <v>0</v>
      </c>
      <c r="K61" s="572">
        <f>'CT (CTR)'!M154</f>
        <v>0</v>
      </c>
      <c r="L61" s="572">
        <f>'CT (CTR)'!N154</f>
        <v>0</v>
      </c>
      <c r="M61" s="572">
        <f>'CT (CTR)'!O154</f>
        <v>0</v>
      </c>
      <c r="N61" s="572">
        <f>'CT (CTR)'!P154</f>
        <v>0</v>
      </c>
      <c r="O61" s="572">
        <f>'CT (CTR)'!Q154</f>
        <v>0</v>
      </c>
      <c r="P61" s="572">
        <f>'CT (CTR)'!R154</f>
        <v>0</v>
      </c>
      <c r="Q61" s="572">
        <f>'CT (CTR)'!S154</f>
        <v>0</v>
      </c>
      <c r="R61" s="572">
        <f>'CT (CTR)'!T154</f>
        <v>0</v>
      </c>
      <c r="S61" s="572">
        <f>'CT (CTR)'!U154</f>
        <v>0</v>
      </c>
      <c r="T61" s="572">
        <f>'CT (CTR)'!V154</f>
        <v>0</v>
      </c>
      <c r="U61" s="572">
        <f>'CT (CTR)'!W154</f>
        <v>0</v>
      </c>
      <c r="V61" s="572">
        <f>'CT (CTR)'!X154</f>
        <v>0</v>
      </c>
      <c r="W61" s="572">
        <f>'CT (CTR)'!Y154</f>
        <v>0</v>
      </c>
      <c r="X61" s="572">
        <f>'CT (CTR)'!Z154</f>
        <v>0</v>
      </c>
      <c r="Y61" s="572">
        <f>'CT (CTR)'!AA154</f>
        <v>0</v>
      </c>
      <c r="Z61" s="572">
        <f>'CT (CTR)'!AB154</f>
        <v>0</v>
      </c>
      <c r="AA61" s="572">
        <f>'CT (CTR)'!AC154</f>
        <v>0</v>
      </c>
      <c r="AB61" s="572">
        <f>'CT (CTR)'!AD154</f>
        <v>0</v>
      </c>
      <c r="AC61" s="572">
        <f>'CT (CTR)'!AE154</f>
        <v>0</v>
      </c>
      <c r="AD61" s="572"/>
      <c r="AE61" s="572"/>
      <c r="AF61" s="572"/>
      <c r="AG61" s="572"/>
      <c r="AH61" s="572"/>
      <c r="AI61" s="572"/>
      <c r="AJ61" s="572"/>
      <c r="AK61" s="572"/>
      <c r="AL61" s="572"/>
      <c r="AM61" s="572"/>
      <c r="AN61" s="572"/>
      <c r="AO61" s="572"/>
      <c r="AP61" s="572"/>
      <c r="AQ61" s="572"/>
      <c r="AR61" s="572"/>
      <c r="AS61" s="572"/>
      <c r="AT61" s="572"/>
      <c r="AU61" s="572"/>
      <c r="AV61" s="572"/>
      <c r="AW61" s="572"/>
      <c r="AX61" s="572"/>
      <c r="AY61" s="572"/>
      <c r="AZ61" s="572"/>
      <c r="BA61" s="572"/>
      <c r="BB61" s="572"/>
      <c r="BC61" s="572"/>
      <c r="BD61" s="572"/>
      <c r="BE61" s="572"/>
      <c r="BF61" s="572"/>
      <c r="BG61" s="572"/>
      <c r="BH61" s="572"/>
      <c r="BI61" s="572"/>
      <c r="BJ61" s="572"/>
      <c r="BK61" s="572"/>
      <c r="BL61" s="572"/>
      <c r="BM61" s="572"/>
      <c r="BN61" s="572"/>
      <c r="BO61" s="572"/>
      <c r="BP61" s="572"/>
      <c r="BQ61" s="572"/>
      <c r="BR61" s="572"/>
      <c r="BS61" s="572"/>
      <c r="BT61" s="572"/>
      <c r="BU61" s="572"/>
      <c r="BV61" s="572"/>
      <c r="BW61" s="572"/>
    </row>
    <row r="62" spans="1:75" x14ac:dyDescent="0.2">
      <c r="A62" s="689" t="str">
        <f t="shared" si="13"/>
        <v>FORA PONTA</v>
      </c>
      <c r="B62" s="571">
        <f t="shared" si="12"/>
        <v>1.291666666666667</v>
      </c>
      <c r="C62" s="566" t="s">
        <v>358</v>
      </c>
      <c r="D62" s="569">
        <v>14</v>
      </c>
      <c r="E62" s="572">
        <f>'CT (CTR)'!G155</f>
        <v>6.4770657264645701E-4</v>
      </c>
      <c r="F62" s="572">
        <f>'CT (CTR)'!H155</f>
        <v>2.5749316507662898E-4</v>
      </c>
      <c r="G62" s="572">
        <f>'CT (CTR)'!I155</f>
        <v>1.35501804461621E-3</v>
      </c>
      <c r="H62" s="572">
        <f>'CT (CTR)'!J155</f>
        <v>0</v>
      </c>
      <c r="I62" s="572">
        <f>'CT (CTR)'!K155</f>
        <v>0</v>
      </c>
      <c r="J62" s="572">
        <f>'CT (CTR)'!L155</f>
        <v>0</v>
      </c>
      <c r="K62" s="572">
        <f>'CT (CTR)'!M155</f>
        <v>0</v>
      </c>
      <c r="L62" s="572">
        <f>'CT (CTR)'!N155</f>
        <v>0</v>
      </c>
      <c r="M62" s="572">
        <f>'CT (CTR)'!O155</f>
        <v>0</v>
      </c>
      <c r="N62" s="572">
        <f>'CT (CTR)'!P155</f>
        <v>0</v>
      </c>
      <c r="O62" s="572">
        <f>'CT (CTR)'!Q155</f>
        <v>0</v>
      </c>
      <c r="P62" s="572">
        <f>'CT (CTR)'!R155</f>
        <v>0</v>
      </c>
      <c r="Q62" s="572">
        <f>'CT (CTR)'!S155</f>
        <v>0</v>
      </c>
      <c r="R62" s="572">
        <f>'CT (CTR)'!T155</f>
        <v>0</v>
      </c>
      <c r="S62" s="572">
        <f>'CT (CTR)'!U155</f>
        <v>0</v>
      </c>
      <c r="T62" s="572">
        <f>'CT (CTR)'!V155</f>
        <v>0</v>
      </c>
      <c r="U62" s="572">
        <f>'CT (CTR)'!W155</f>
        <v>0</v>
      </c>
      <c r="V62" s="572">
        <f>'CT (CTR)'!X155</f>
        <v>0</v>
      </c>
      <c r="W62" s="572">
        <f>'CT (CTR)'!Y155</f>
        <v>0</v>
      </c>
      <c r="X62" s="572">
        <f>'CT (CTR)'!Z155</f>
        <v>0</v>
      </c>
      <c r="Y62" s="572">
        <f>'CT (CTR)'!AA155</f>
        <v>0</v>
      </c>
      <c r="Z62" s="572">
        <f>'CT (CTR)'!AB155</f>
        <v>0</v>
      </c>
      <c r="AA62" s="572">
        <f>'CT (CTR)'!AC155</f>
        <v>0</v>
      </c>
      <c r="AB62" s="572">
        <f>'CT (CTR)'!AD155</f>
        <v>0</v>
      </c>
      <c r="AC62" s="572">
        <f>'CT (CTR)'!AE155</f>
        <v>0</v>
      </c>
      <c r="AD62" s="572"/>
      <c r="AE62" s="572"/>
      <c r="AF62" s="572"/>
      <c r="AG62" s="572"/>
      <c r="AH62" s="572"/>
      <c r="AI62" s="572"/>
      <c r="AJ62" s="572"/>
      <c r="AK62" s="572"/>
      <c r="AL62" s="572"/>
      <c r="AM62" s="572"/>
      <c r="AN62" s="572"/>
      <c r="AO62" s="572"/>
      <c r="AP62" s="572"/>
      <c r="AQ62" s="572"/>
      <c r="AR62" s="572"/>
      <c r="AS62" s="572"/>
      <c r="AT62" s="572"/>
      <c r="AU62" s="572"/>
      <c r="AV62" s="572"/>
      <c r="AW62" s="572"/>
      <c r="AX62" s="572"/>
      <c r="AY62" s="572"/>
      <c r="AZ62" s="572"/>
      <c r="BA62" s="572"/>
      <c r="BB62" s="572"/>
      <c r="BC62" s="572"/>
      <c r="BD62" s="572"/>
      <c r="BE62" s="572"/>
      <c r="BF62" s="572"/>
      <c r="BG62" s="572"/>
      <c r="BH62" s="572"/>
      <c r="BI62" s="572"/>
      <c r="BJ62" s="572"/>
      <c r="BK62" s="572"/>
      <c r="BL62" s="572"/>
      <c r="BM62" s="572"/>
      <c r="BN62" s="572"/>
      <c r="BO62" s="572"/>
      <c r="BP62" s="572"/>
      <c r="BQ62" s="572"/>
      <c r="BR62" s="572"/>
      <c r="BS62" s="572"/>
      <c r="BT62" s="572"/>
      <c r="BU62" s="572"/>
      <c r="BV62" s="572"/>
      <c r="BW62" s="572"/>
    </row>
    <row r="63" spans="1:75" x14ac:dyDescent="0.2">
      <c r="A63" s="689" t="str">
        <f t="shared" si="13"/>
        <v>FORA PONTA</v>
      </c>
      <c r="B63" s="571">
        <f t="shared" si="12"/>
        <v>1.3333333333333337</v>
      </c>
      <c r="C63" s="566" t="s">
        <v>358</v>
      </c>
      <c r="D63" s="569">
        <v>15</v>
      </c>
      <c r="E63" s="572">
        <f>'CT (CTR)'!G156</f>
        <v>6.4611710866450402E-4</v>
      </c>
      <c r="F63" s="572">
        <f>'CT (CTR)'!H156</f>
        <v>1.06494099680836E-4</v>
      </c>
      <c r="G63" s="572">
        <f>'CT (CTR)'!I156</f>
        <v>1.5425747944868399E-3</v>
      </c>
      <c r="H63" s="572">
        <f>'CT (CTR)'!J156</f>
        <v>0</v>
      </c>
      <c r="I63" s="572">
        <f>'CT (CTR)'!K156</f>
        <v>0</v>
      </c>
      <c r="J63" s="572">
        <f>'CT (CTR)'!L156</f>
        <v>0</v>
      </c>
      <c r="K63" s="572">
        <f>'CT (CTR)'!M156</f>
        <v>0</v>
      </c>
      <c r="L63" s="572">
        <f>'CT (CTR)'!N156</f>
        <v>0</v>
      </c>
      <c r="M63" s="572">
        <f>'CT (CTR)'!O156</f>
        <v>0</v>
      </c>
      <c r="N63" s="572">
        <f>'CT (CTR)'!P156</f>
        <v>0</v>
      </c>
      <c r="O63" s="572">
        <f>'CT (CTR)'!Q156</f>
        <v>0</v>
      </c>
      <c r="P63" s="572">
        <f>'CT (CTR)'!R156</f>
        <v>0</v>
      </c>
      <c r="Q63" s="572">
        <f>'CT (CTR)'!S156</f>
        <v>0</v>
      </c>
      <c r="R63" s="572">
        <f>'CT (CTR)'!T156</f>
        <v>0</v>
      </c>
      <c r="S63" s="572">
        <f>'CT (CTR)'!U156</f>
        <v>0</v>
      </c>
      <c r="T63" s="572">
        <f>'CT (CTR)'!V156</f>
        <v>0</v>
      </c>
      <c r="U63" s="572">
        <f>'CT (CTR)'!W156</f>
        <v>0</v>
      </c>
      <c r="V63" s="572">
        <f>'CT (CTR)'!X156</f>
        <v>0</v>
      </c>
      <c r="W63" s="572">
        <f>'CT (CTR)'!Y156</f>
        <v>0</v>
      </c>
      <c r="X63" s="572">
        <f>'CT (CTR)'!Z156</f>
        <v>0</v>
      </c>
      <c r="Y63" s="572">
        <f>'CT (CTR)'!AA156</f>
        <v>0</v>
      </c>
      <c r="Z63" s="572">
        <f>'CT (CTR)'!AB156</f>
        <v>0</v>
      </c>
      <c r="AA63" s="572">
        <f>'CT (CTR)'!AC156</f>
        <v>0</v>
      </c>
      <c r="AB63" s="572">
        <f>'CT (CTR)'!AD156</f>
        <v>0</v>
      </c>
      <c r="AC63" s="572">
        <f>'CT (CTR)'!AE156</f>
        <v>0</v>
      </c>
      <c r="AD63" s="572"/>
      <c r="AE63" s="572"/>
      <c r="AF63" s="572"/>
      <c r="AG63" s="572"/>
      <c r="AH63" s="572"/>
      <c r="AI63" s="572"/>
      <c r="AJ63" s="572"/>
      <c r="AK63" s="572"/>
      <c r="AL63" s="572"/>
      <c r="AM63" s="572"/>
      <c r="AN63" s="572"/>
      <c r="AO63" s="572"/>
      <c r="AP63" s="572"/>
      <c r="AQ63" s="572"/>
      <c r="AR63" s="572"/>
      <c r="AS63" s="572"/>
      <c r="AT63" s="572"/>
      <c r="AU63" s="572"/>
      <c r="AV63" s="572"/>
      <c r="AW63" s="572"/>
      <c r="AX63" s="572"/>
      <c r="AY63" s="572"/>
      <c r="AZ63" s="572"/>
      <c r="BA63" s="572"/>
      <c r="BB63" s="572"/>
      <c r="BC63" s="572"/>
      <c r="BD63" s="572"/>
      <c r="BE63" s="572"/>
      <c r="BF63" s="572"/>
      <c r="BG63" s="572"/>
      <c r="BH63" s="572"/>
      <c r="BI63" s="572"/>
      <c r="BJ63" s="572"/>
      <c r="BK63" s="572"/>
      <c r="BL63" s="572"/>
      <c r="BM63" s="572"/>
      <c r="BN63" s="572"/>
      <c r="BO63" s="572"/>
      <c r="BP63" s="572"/>
      <c r="BQ63" s="572"/>
      <c r="BR63" s="572"/>
      <c r="BS63" s="572"/>
      <c r="BT63" s="572"/>
      <c r="BU63" s="572"/>
      <c r="BV63" s="572"/>
      <c r="BW63" s="572"/>
    </row>
    <row r="64" spans="1:75" x14ac:dyDescent="0.2">
      <c r="A64" s="689" t="str">
        <f t="shared" si="13"/>
        <v>FORA PONTA</v>
      </c>
      <c r="B64" s="571">
        <f t="shared" si="12"/>
        <v>1.3750000000000004</v>
      </c>
      <c r="C64" s="566" t="s">
        <v>358</v>
      </c>
      <c r="D64" s="569">
        <v>16</v>
      </c>
      <c r="E64" s="572">
        <f>'CT (CTR)'!G157</f>
        <v>7.6771110328402101E-4</v>
      </c>
      <c r="F64" s="572">
        <f>'CT (CTR)'!H157</f>
        <v>8.5036323034566006E-5</v>
      </c>
      <c r="G64" s="572">
        <f>'CT (CTR)'!I157</f>
        <v>1.1213668392689E-3</v>
      </c>
      <c r="H64" s="572">
        <f>'CT (CTR)'!J157</f>
        <v>0</v>
      </c>
      <c r="I64" s="572">
        <f>'CT (CTR)'!K157</f>
        <v>0</v>
      </c>
      <c r="J64" s="572">
        <f>'CT (CTR)'!L157</f>
        <v>0</v>
      </c>
      <c r="K64" s="572">
        <f>'CT (CTR)'!M157</f>
        <v>0</v>
      </c>
      <c r="L64" s="572">
        <f>'CT (CTR)'!N157</f>
        <v>0</v>
      </c>
      <c r="M64" s="572">
        <f>'CT (CTR)'!O157</f>
        <v>0</v>
      </c>
      <c r="N64" s="572">
        <f>'CT (CTR)'!P157</f>
        <v>0</v>
      </c>
      <c r="O64" s="572">
        <f>'CT (CTR)'!Q157</f>
        <v>0</v>
      </c>
      <c r="P64" s="572">
        <f>'CT (CTR)'!R157</f>
        <v>0</v>
      </c>
      <c r="Q64" s="572">
        <f>'CT (CTR)'!S157</f>
        <v>0</v>
      </c>
      <c r="R64" s="572">
        <f>'CT (CTR)'!T157</f>
        <v>0</v>
      </c>
      <c r="S64" s="572">
        <f>'CT (CTR)'!U157</f>
        <v>0</v>
      </c>
      <c r="T64" s="572">
        <f>'CT (CTR)'!V157</f>
        <v>0</v>
      </c>
      <c r="U64" s="572">
        <f>'CT (CTR)'!W157</f>
        <v>0</v>
      </c>
      <c r="V64" s="572">
        <f>'CT (CTR)'!X157</f>
        <v>0</v>
      </c>
      <c r="W64" s="572">
        <f>'CT (CTR)'!Y157</f>
        <v>0</v>
      </c>
      <c r="X64" s="572">
        <f>'CT (CTR)'!Z157</f>
        <v>0</v>
      </c>
      <c r="Y64" s="572">
        <f>'CT (CTR)'!AA157</f>
        <v>0</v>
      </c>
      <c r="Z64" s="572">
        <f>'CT (CTR)'!AB157</f>
        <v>0</v>
      </c>
      <c r="AA64" s="572">
        <f>'CT (CTR)'!AC157</f>
        <v>0</v>
      </c>
      <c r="AB64" s="572">
        <f>'CT (CTR)'!AD157</f>
        <v>0</v>
      </c>
      <c r="AC64" s="572">
        <f>'CT (CTR)'!AE157</f>
        <v>0</v>
      </c>
      <c r="AD64" s="572"/>
      <c r="AE64" s="572"/>
      <c r="AF64" s="572"/>
      <c r="AG64" s="572"/>
      <c r="AH64" s="572"/>
      <c r="AI64" s="572"/>
      <c r="AJ64" s="572"/>
      <c r="AK64" s="572"/>
      <c r="AL64" s="572"/>
      <c r="AM64" s="572"/>
      <c r="AN64" s="572"/>
      <c r="AO64" s="572"/>
      <c r="AP64" s="572"/>
      <c r="AQ64" s="572"/>
      <c r="AR64" s="572"/>
      <c r="AS64" s="572"/>
      <c r="AT64" s="572"/>
      <c r="AU64" s="572"/>
      <c r="AV64" s="572"/>
      <c r="AW64" s="572"/>
      <c r="AX64" s="572"/>
      <c r="AY64" s="572"/>
      <c r="AZ64" s="572"/>
      <c r="BA64" s="572"/>
      <c r="BB64" s="572"/>
      <c r="BC64" s="572"/>
      <c r="BD64" s="572"/>
      <c r="BE64" s="572"/>
      <c r="BF64" s="572"/>
      <c r="BG64" s="572"/>
      <c r="BH64" s="572"/>
      <c r="BI64" s="572"/>
      <c r="BJ64" s="572"/>
      <c r="BK64" s="572"/>
      <c r="BL64" s="572"/>
      <c r="BM64" s="572"/>
      <c r="BN64" s="572"/>
      <c r="BO64" s="572"/>
      <c r="BP64" s="572"/>
      <c r="BQ64" s="572"/>
      <c r="BR64" s="572"/>
      <c r="BS64" s="572"/>
      <c r="BT64" s="572"/>
      <c r="BU64" s="572"/>
      <c r="BV64" s="572"/>
      <c r="BW64" s="572"/>
    </row>
    <row r="65" spans="1:75" x14ac:dyDescent="0.2">
      <c r="A65" s="689" t="str">
        <f t="shared" si="13"/>
        <v>FORA PONTA</v>
      </c>
      <c r="B65" s="571">
        <f t="shared" si="12"/>
        <v>1.4166666666666672</v>
      </c>
      <c r="C65" s="566" t="s">
        <v>358</v>
      </c>
      <c r="D65" s="569">
        <v>17</v>
      </c>
      <c r="E65" s="572">
        <f>'CT (CTR)'!G158</f>
        <v>7.3194816369004498E-4</v>
      </c>
      <c r="F65" s="572">
        <f>'CT (CTR)'!H158</f>
        <v>5.9922792119684605E-4</v>
      </c>
      <c r="G65" s="572">
        <f>'CT (CTR)'!I158</f>
        <v>1.07686184777417E-3</v>
      </c>
      <c r="H65" s="572">
        <f>'CT (CTR)'!J158</f>
        <v>0</v>
      </c>
      <c r="I65" s="572">
        <f>'CT (CTR)'!K158</f>
        <v>0</v>
      </c>
      <c r="J65" s="572">
        <f>'CT (CTR)'!L158</f>
        <v>0</v>
      </c>
      <c r="K65" s="572">
        <f>'CT (CTR)'!M158</f>
        <v>0</v>
      </c>
      <c r="L65" s="572">
        <f>'CT (CTR)'!N158</f>
        <v>0</v>
      </c>
      <c r="M65" s="572">
        <f>'CT (CTR)'!O158</f>
        <v>0</v>
      </c>
      <c r="N65" s="572">
        <f>'CT (CTR)'!P158</f>
        <v>0</v>
      </c>
      <c r="O65" s="572">
        <f>'CT (CTR)'!Q158</f>
        <v>0</v>
      </c>
      <c r="P65" s="572">
        <f>'CT (CTR)'!R158</f>
        <v>0</v>
      </c>
      <c r="Q65" s="572">
        <f>'CT (CTR)'!S158</f>
        <v>0</v>
      </c>
      <c r="R65" s="572">
        <f>'CT (CTR)'!T158</f>
        <v>0</v>
      </c>
      <c r="S65" s="572">
        <f>'CT (CTR)'!U158</f>
        <v>0</v>
      </c>
      <c r="T65" s="572">
        <f>'CT (CTR)'!V158</f>
        <v>0</v>
      </c>
      <c r="U65" s="572">
        <f>'CT (CTR)'!W158</f>
        <v>0</v>
      </c>
      <c r="V65" s="572">
        <f>'CT (CTR)'!X158</f>
        <v>0</v>
      </c>
      <c r="W65" s="572">
        <f>'CT (CTR)'!Y158</f>
        <v>0</v>
      </c>
      <c r="X65" s="572">
        <f>'CT (CTR)'!Z158</f>
        <v>0</v>
      </c>
      <c r="Y65" s="572">
        <f>'CT (CTR)'!AA158</f>
        <v>0</v>
      </c>
      <c r="Z65" s="572">
        <f>'CT (CTR)'!AB158</f>
        <v>0</v>
      </c>
      <c r="AA65" s="572">
        <f>'CT (CTR)'!AC158</f>
        <v>0</v>
      </c>
      <c r="AB65" s="572">
        <f>'CT (CTR)'!AD158</f>
        <v>0</v>
      </c>
      <c r="AC65" s="572">
        <f>'CT (CTR)'!AE158</f>
        <v>0</v>
      </c>
      <c r="AD65" s="572"/>
      <c r="AE65" s="572"/>
      <c r="AF65" s="572"/>
      <c r="AG65" s="572"/>
      <c r="AH65" s="572"/>
      <c r="AI65" s="572"/>
      <c r="AJ65" s="572"/>
      <c r="AK65" s="572"/>
      <c r="AL65" s="572"/>
      <c r="AM65" s="572"/>
      <c r="AN65" s="572"/>
      <c r="AO65" s="572"/>
      <c r="AP65" s="572"/>
      <c r="AQ65" s="572"/>
      <c r="AR65" s="572"/>
      <c r="AS65" s="572"/>
      <c r="AT65" s="572"/>
      <c r="AU65" s="572"/>
      <c r="AV65" s="572"/>
      <c r="AW65" s="572"/>
      <c r="AX65" s="572"/>
      <c r="AY65" s="572"/>
      <c r="AZ65" s="572"/>
      <c r="BA65" s="572"/>
      <c r="BB65" s="572"/>
      <c r="BC65" s="572"/>
      <c r="BD65" s="572"/>
      <c r="BE65" s="572"/>
      <c r="BF65" s="572"/>
      <c r="BG65" s="572"/>
      <c r="BH65" s="572"/>
      <c r="BI65" s="572"/>
      <c r="BJ65" s="572"/>
      <c r="BK65" s="572"/>
      <c r="BL65" s="572"/>
      <c r="BM65" s="572"/>
      <c r="BN65" s="572"/>
      <c r="BO65" s="572"/>
      <c r="BP65" s="572"/>
      <c r="BQ65" s="572"/>
      <c r="BR65" s="572"/>
      <c r="BS65" s="572"/>
      <c r="BT65" s="572"/>
      <c r="BU65" s="572"/>
      <c r="BV65" s="572"/>
      <c r="BW65" s="572"/>
    </row>
    <row r="66" spans="1:75" x14ac:dyDescent="0.2">
      <c r="A66" s="689" t="str">
        <f t="shared" si="13"/>
        <v>FORA PONTA</v>
      </c>
      <c r="B66" s="571">
        <f t="shared" si="12"/>
        <v>1.4583333333333339</v>
      </c>
      <c r="C66" s="566" t="s">
        <v>358</v>
      </c>
      <c r="D66" s="569">
        <v>18</v>
      </c>
      <c r="E66" s="572">
        <f>'CT (CTR)'!G159</f>
        <v>1.1944821824387999E-3</v>
      </c>
      <c r="F66" s="572">
        <f>'CT (CTR)'!H159</f>
        <v>6.8982736816825105E-4</v>
      </c>
      <c r="G66" s="572">
        <f>'CT (CTR)'!I159</f>
        <v>1.09275648759372E-3</v>
      </c>
      <c r="H66" s="572">
        <f>'CT (CTR)'!J159</f>
        <v>0</v>
      </c>
      <c r="I66" s="572">
        <f>'CT (CTR)'!K159</f>
        <v>0</v>
      </c>
      <c r="J66" s="572">
        <f>'CT (CTR)'!L159</f>
        <v>0</v>
      </c>
      <c r="K66" s="572">
        <f>'CT (CTR)'!M159</f>
        <v>0</v>
      </c>
      <c r="L66" s="572">
        <f>'CT (CTR)'!N159</f>
        <v>0</v>
      </c>
      <c r="M66" s="572">
        <f>'CT (CTR)'!O159</f>
        <v>0</v>
      </c>
      <c r="N66" s="572">
        <f>'CT (CTR)'!P159</f>
        <v>0</v>
      </c>
      <c r="O66" s="572">
        <f>'CT (CTR)'!Q159</f>
        <v>0</v>
      </c>
      <c r="P66" s="572">
        <f>'CT (CTR)'!R159</f>
        <v>0</v>
      </c>
      <c r="Q66" s="572">
        <f>'CT (CTR)'!S159</f>
        <v>0</v>
      </c>
      <c r="R66" s="572">
        <f>'CT (CTR)'!T159</f>
        <v>0</v>
      </c>
      <c r="S66" s="572">
        <f>'CT (CTR)'!U159</f>
        <v>0</v>
      </c>
      <c r="T66" s="572">
        <f>'CT (CTR)'!V159</f>
        <v>0</v>
      </c>
      <c r="U66" s="572">
        <f>'CT (CTR)'!W159</f>
        <v>0</v>
      </c>
      <c r="V66" s="572">
        <f>'CT (CTR)'!X159</f>
        <v>0</v>
      </c>
      <c r="W66" s="572">
        <f>'CT (CTR)'!Y159</f>
        <v>0</v>
      </c>
      <c r="X66" s="572">
        <f>'CT (CTR)'!Z159</f>
        <v>0</v>
      </c>
      <c r="Y66" s="572">
        <f>'CT (CTR)'!AA159</f>
        <v>0</v>
      </c>
      <c r="Z66" s="572">
        <f>'CT (CTR)'!AB159</f>
        <v>0</v>
      </c>
      <c r="AA66" s="572">
        <f>'CT (CTR)'!AC159</f>
        <v>0</v>
      </c>
      <c r="AB66" s="572">
        <f>'CT (CTR)'!AD159</f>
        <v>0</v>
      </c>
      <c r="AC66" s="572">
        <f>'CT (CTR)'!AE159</f>
        <v>0</v>
      </c>
      <c r="AD66" s="572"/>
      <c r="AE66" s="572"/>
      <c r="AF66" s="572"/>
      <c r="AG66" s="572"/>
      <c r="AH66" s="572"/>
      <c r="AI66" s="572"/>
      <c r="AJ66" s="572"/>
      <c r="AK66" s="572"/>
      <c r="AL66" s="572"/>
      <c r="AM66" s="572"/>
      <c r="AN66" s="572"/>
      <c r="AO66" s="572"/>
      <c r="AP66" s="572"/>
      <c r="AQ66" s="572"/>
      <c r="AR66" s="572"/>
      <c r="AS66" s="572"/>
      <c r="AT66" s="572"/>
      <c r="AU66" s="572"/>
      <c r="AV66" s="572"/>
      <c r="AW66" s="572"/>
      <c r="AX66" s="572"/>
      <c r="AY66" s="572"/>
      <c r="AZ66" s="572"/>
      <c r="BA66" s="572"/>
      <c r="BB66" s="572"/>
      <c r="BC66" s="572"/>
      <c r="BD66" s="572"/>
      <c r="BE66" s="572"/>
      <c r="BF66" s="572"/>
      <c r="BG66" s="572"/>
      <c r="BH66" s="572"/>
      <c r="BI66" s="572"/>
      <c r="BJ66" s="572"/>
      <c r="BK66" s="572"/>
      <c r="BL66" s="572"/>
      <c r="BM66" s="572"/>
      <c r="BN66" s="572"/>
      <c r="BO66" s="572"/>
      <c r="BP66" s="572"/>
      <c r="BQ66" s="572"/>
      <c r="BR66" s="572"/>
      <c r="BS66" s="572"/>
      <c r="BT66" s="572"/>
      <c r="BU66" s="572"/>
      <c r="BV66" s="572"/>
      <c r="BW66" s="572"/>
    </row>
    <row r="67" spans="1:75" x14ac:dyDescent="0.2">
      <c r="A67" s="689" t="str">
        <f t="shared" si="13"/>
        <v>FORA PONTA</v>
      </c>
      <c r="B67" s="571">
        <f t="shared" si="12"/>
        <v>1.5000000000000007</v>
      </c>
      <c r="C67" s="566" t="s">
        <v>358</v>
      </c>
      <c r="D67" s="569">
        <v>19</v>
      </c>
      <c r="E67" s="572">
        <f>'CT (CTR)'!G160</f>
        <v>1.1483877269621199E-3</v>
      </c>
      <c r="F67" s="572">
        <f>'CT (CTR)'!H160</f>
        <v>2.09809245617994E-4</v>
      </c>
      <c r="G67" s="572">
        <f>'CT (CTR)'!I160</f>
        <v>1.5044276589199299E-3</v>
      </c>
      <c r="H67" s="572">
        <f>'CT (CTR)'!J160</f>
        <v>0</v>
      </c>
      <c r="I67" s="572">
        <f>'CT (CTR)'!K160</f>
        <v>0</v>
      </c>
      <c r="J67" s="572">
        <f>'CT (CTR)'!L160</f>
        <v>0</v>
      </c>
      <c r="K67" s="572">
        <f>'CT (CTR)'!M160</f>
        <v>0</v>
      </c>
      <c r="L67" s="572">
        <f>'CT (CTR)'!N160</f>
        <v>0</v>
      </c>
      <c r="M67" s="572">
        <f>'CT (CTR)'!O160</f>
        <v>0</v>
      </c>
      <c r="N67" s="572">
        <f>'CT (CTR)'!P160</f>
        <v>0</v>
      </c>
      <c r="O67" s="572">
        <f>'CT (CTR)'!Q160</f>
        <v>0</v>
      </c>
      <c r="P67" s="572">
        <f>'CT (CTR)'!R160</f>
        <v>0</v>
      </c>
      <c r="Q67" s="572">
        <f>'CT (CTR)'!S160</f>
        <v>0</v>
      </c>
      <c r="R67" s="572">
        <f>'CT (CTR)'!T160</f>
        <v>0</v>
      </c>
      <c r="S67" s="572">
        <f>'CT (CTR)'!U160</f>
        <v>0</v>
      </c>
      <c r="T67" s="572">
        <f>'CT (CTR)'!V160</f>
        <v>0</v>
      </c>
      <c r="U67" s="572">
        <f>'CT (CTR)'!W160</f>
        <v>0</v>
      </c>
      <c r="V67" s="572">
        <f>'CT (CTR)'!X160</f>
        <v>0</v>
      </c>
      <c r="W67" s="572">
        <f>'CT (CTR)'!Y160</f>
        <v>0</v>
      </c>
      <c r="X67" s="572">
        <f>'CT (CTR)'!Z160</f>
        <v>0</v>
      </c>
      <c r="Y67" s="572">
        <f>'CT (CTR)'!AA160</f>
        <v>0</v>
      </c>
      <c r="Z67" s="572">
        <f>'CT (CTR)'!AB160</f>
        <v>0</v>
      </c>
      <c r="AA67" s="572">
        <f>'CT (CTR)'!AC160</f>
        <v>0</v>
      </c>
      <c r="AB67" s="572">
        <f>'CT (CTR)'!AD160</f>
        <v>0</v>
      </c>
      <c r="AC67" s="572">
        <f>'CT (CTR)'!AE160</f>
        <v>0</v>
      </c>
      <c r="AD67" s="572"/>
      <c r="AE67" s="572"/>
      <c r="AF67" s="572"/>
      <c r="AG67" s="572"/>
      <c r="AH67" s="572"/>
      <c r="AI67" s="572"/>
      <c r="AJ67" s="572"/>
      <c r="AK67" s="572"/>
      <c r="AL67" s="572"/>
      <c r="AM67" s="572"/>
      <c r="AN67" s="572"/>
      <c r="AO67" s="572"/>
      <c r="AP67" s="572"/>
      <c r="AQ67" s="572"/>
      <c r="AR67" s="572"/>
      <c r="AS67" s="572"/>
      <c r="AT67" s="572"/>
      <c r="AU67" s="572"/>
      <c r="AV67" s="572"/>
      <c r="AW67" s="572"/>
      <c r="AX67" s="572"/>
      <c r="AY67" s="572"/>
      <c r="AZ67" s="572"/>
      <c r="BA67" s="572"/>
      <c r="BB67" s="572"/>
      <c r="BC67" s="572"/>
      <c r="BD67" s="572"/>
      <c r="BE67" s="572"/>
      <c r="BF67" s="572"/>
      <c r="BG67" s="572"/>
      <c r="BH67" s="572"/>
      <c r="BI67" s="572"/>
      <c r="BJ67" s="572"/>
      <c r="BK67" s="572"/>
      <c r="BL67" s="572"/>
      <c r="BM67" s="572"/>
      <c r="BN67" s="572"/>
      <c r="BO67" s="572"/>
      <c r="BP67" s="572"/>
      <c r="BQ67" s="572"/>
      <c r="BR67" s="572"/>
      <c r="BS67" s="572"/>
      <c r="BT67" s="572"/>
      <c r="BU67" s="572"/>
      <c r="BV67" s="572"/>
      <c r="BW67" s="572"/>
    </row>
    <row r="68" spans="1:75" x14ac:dyDescent="0.2">
      <c r="A68" s="689" t="str">
        <f t="shared" si="13"/>
        <v>FORA PONTA</v>
      </c>
      <c r="B68" s="571">
        <f t="shared" si="12"/>
        <v>1.5416666666666674</v>
      </c>
      <c r="C68" s="566" t="s">
        <v>358</v>
      </c>
      <c r="D68" s="569">
        <v>20</v>
      </c>
      <c r="E68" s="572">
        <f>'CT (CTR)'!G161</f>
        <v>1.2294503900418001E-3</v>
      </c>
      <c r="F68" s="572">
        <f>'CT (CTR)'!H161</f>
        <v>9.3539955338021996E-4</v>
      </c>
      <c r="G68" s="572">
        <f>'CT (CTR)'!I161</f>
        <v>1.2119662862403E-3</v>
      </c>
      <c r="H68" s="572">
        <f>'CT (CTR)'!J161</f>
        <v>0</v>
      </c>
      <c r="I68" s="572">
        <f>'CT (CTR)'!K161</f>
        <v>0</v>
      </c>
      <c r="J68" s="572">
        <f>'CT (CTR)'!L161</f>
        <v>0</v>
      </c>
      <c r="K68" s="572">
        <f>'CT (CTR)'!M161</f>
        <v>0</v>
      </c>
      <c r="L68" s="572">
        <f>'CT (CTR)'!N161</f>
        <v>0</v>
      </c>
      <c r="M68" s="572">
        <f>'CT (CTR)'!O161</f>
        <v>0</v>
      </c>
      <c r="N68" s="572">
        <f>'CT (CTR)'!P161</f>
        <v>0</v>
      </c>
      <c r="O68" s="572">
        <f>'CT (CTR)'!Q161</f>
        <v>0</v>
      </c>
      <c r="P68" s="572">
        <f>'CT (CTR)'!R161</f>
        <v>0</v>
      </c>
      <c r="Q68" s="572">
        <f>'CT (CTR)'!S161</f>
        <v>0</v>
      </c>
      <c r="R68" s="572">
        <f>'CT (CTR)'!T161</f>
        <v>0</v>
      </c>
      <c r="S68" s="572">
        <f>'CT (CTR)'!U161</f>
        <v>0</v>
      </c>
      <c r="T68" s="572">
        <f>'CT (CTR)'!V161</f>
        <v>0</v>
      </c>
      <c r="U68" s="572">
        <f>'CT (CTR)'!W161</f>
        <v>0</v>
      </c>
      <c r="V68" s="572">
        <f>'CT (CTR)'!X161</f>
        <v>0</v>
      </c>
      <c r="W68" s="572">
        <f>'CT (CTR)'!Y161</f>
        <v>0</v>
      </c>
      <c r="X68" s="572">
        <f>'CT (CTR)'!Z161</f>
        <v>0</v>
      </c>
      <c r="Y68" s="572">
        <f>'CT (CTR)'!AA161</f>
        <v>0</v>
      </c>
      <c r="Z68" s="572">
        <f>'CT (CTR)'!AB161</f>
        <v>0</v>
      </c>
      <c r="AA68" s="572">
        <f>'CT (CTR)'!AC161</f>
        <v>0</v>
      </c>
      <c r="AB68" s="572">
        <f>'CT (CTR)'!AD161</f>
        <v>0</v>
      </c>
      <c r="AC68" s="572">
        <f>'CT (CTR)'!AE161</f>
        <v>0</v>
      </c>
      <c r="AD68" s="572"/>
      <c r="AE68" s="572"/>
      <c r="AF68" s="572"/>
      <c r="AG68" s="572"/>
      <c r="AH68" s="572"/>
      <c r="AI68" s="572"/>
      <c r="AJ68" s="572"/>
      <c r="AK68" s="572"/>
      <c r="AL68" s="572"/>
      <c r="AM68" s="572"/>
      <c r="AN68" s="572"/>
      <c r="AO68" s="572"/>
      <c r="AP68" s="572"/>
      <c r="AQ68" s="572"/>
      <c r="AR68" s="572"/>
      <c r="AS68" s="572"/>
      <c r="AT68" s="572"/>
      <c r="AU68" s="572"/>
      <c r="AV68" s="572"/>
      <c r="AW68" s="572"/>
      <c r="AX68" s="572"/>
      <c r="AY68" s="572"/>
      <c r="AZ68" s="572"/>
      <c r="BA68" s="572"/>
      <c r="BB68" s="572"/>
      <c r="BC68" s="572"/>
      <c r="BD68" s="572"/>
      <c r="BE68" s="572"/>
      <c r="BF68" s="572"/>
      <c r="BG68" s="572"/>
      <c r="BH68" s="572"/>
      <c r="BI68" s="572"/>
      <c r="BJ68" s="572"/>
      <c r="BK68" s="572"/>
      <c r="BL68" s="572"/>
      <c r="BM68" s="572"/>
      <c r="BN68" s="572"/>
      <c r="BO68" s="572"/>
      <c r="BP68" s="572"/>
      <c r="BQ68" s="572"/>
      <c r="BR68" s="572"/>
      <c r="BS68" s="572"/>
      <c r="BT68" s="572"/>
      <c r="BU68" s="572"/>
      <c r="BV68" s="572"/>
      <c r="BW68" s="572"/>
    </row>
    <row r="69" spans="1:75" x14ac:dyDescent="0.2">
      <c r="A69" s="689" t="str">
        <f t="shared" si="13"/>
        <v>FORA PONTA</v>
      </c>
      <c r="B69" s="571">
        <f t="shared" si="12"/>
        <v>1.5833333333333341</v>
      </c>
      <c r="C69" s="566" t="s">
        <v>358</v>
      </c>
      <c r="D69" s="569">
        <v>21</v>
      </c>
      <c r="E69" s="572">
        <f>'CT (CTR)'!G162</f>
        <v>1.0259990003516301E-3</v>
      </c>
      <c r="F69" s="572">
        <f>'CT (CTR)'!H162</f>
        <v>9.4255214129901799E-4</v>
      </c>
      <c r="G69" s="572">
        <f>'CT (CTR)'!I162</f>
        <v>1.0824249717110101E-3</v>
      </c>
      <c r="H69" s="572">
        <f>'CT (CTR)'!J162</f>
        <v>0</v>
      </c>
      <c r="I69" s="572">
        <f>'CT (CTR)'!K162</f>
        <v>0</v>
      </c>
      <c r="J69" s="572">
        <f>'CT (CTR)'!L162</f>
        <v>0</v>
      </c>
      <c r="K69" s="572">
        <f>'CT (CTR)'!M162</f>
        <v>0</v>
      </c>
      <c r="L69" s="572">
        <f>'CT (CTR)'!N162</f>
        <v>0</v>
      </c>
      <c r="M69" s="572">
        <f>'CT (CTR)'!O162</f>
        <v>0</v>
      </c>
      <c r="N69" s="572">
        <f>'CT (CTR)'!P162</f>
        <v>0</v>
      </c>
      <c r="O69" s="572">
        <f>'CT (CTR)'!Q162</f>
        <v>0</v>
      </c>
      <c r="P69" s="572">
        <f>'CT (CTR)'!R162</f>
        <v>0</v>
      </c>
      <c r="Q69" s="572">
        <f>'CT (CTR)'!S162</f>
        <v>0</v>
      </c>
      <c r="R69" s="572">
        <f>'CT (CTR)'!T162</f>
        <v>0</v>
      </c>
      <c r="S69" s="572">
        <f>'CT (CTR)'!U162</f>
        <v>0</v>
      </c>
      <c r="T69" s="572">
        <f>'CT (CTR)'!V162</f>
        <v>0</v>
      </c>
      <c r="U69" s="572">
        <f>'CT (CTR)'!W162</f>
        <v>0</v>
      </c>
      <c r="V69" s="572">
        <f>'CT (CTR)'!X162</f>
        <v>0</v>
      </c>
      <c r="W69" s="572">
        <f>'CT (CTR)'!Y162</f>
        <v>0</v>
      </c>
      <c r="X69" s="572">
        <f>'CT (CTR)'!Z162</f>
        <v>0</v>
      </c>
      <c r="Y69" s="572">
        <f>'CT (CTR)'!AA162</f>
        <v>0</v>
      </c>
      <c r="Z69" s="572">
        <f>'CT (CTR)'!AB162</f>
        <v>0</v>
      </c>
      <c r="AA69" s="572">
        <f>'CT (CTR)'!AC162</f>
        <v>0</v>
      </c>
      <c r="AB69" s="572">
        <f>'CT (CTR)'!AD162</f>
        <v>0</v>
      </c>
      <c r="AC69" s="572">
        <f>'CT (CTR)'!AE162</f>
        <v>0</v>
      </c>
      <c r="AD69" s="572"/>
      <c r="AE69" s="572"/>
      <c r="AF69" s="572"/>
      <c r="AG69" s="572"/>
      <c r="AH69" s="572"/>
      <c r="AI69" s="572"/>
      <c r="AJ69" s="572"/>
      <c r="AK69" s="572"/>
      <c r="AL69" s="572"/>
      <c r="AM69" s="572"/>
      <c r="AN69" s="572"/>
      <c r="AO69" s="572"/>
      <c r="AP69" s="572"/>
      <c r="AQ69" s="572"/>
      <c r="AR69" s="572"/>
      <c r="AS69" s="572"/>
      <c r="AT69" s="572"/>
      <c r="AU69" s="572"/>
      <c r="AV69" s="572"/>
      <c r="AW69" s="572"/>
      <c r="AX69" s="572"/>
      <c r="AY69" s="572"/>
      <c r="AZ69" s="572"/>
      <c r="BA69" s="572"/>
      <c r="BB69" s="572"/>
      <c r="BC69" s="572"/>
      <c r="BD69" s="572"/>
      <c r="BE69" s="572"/>
      <c r="BF69" s="572"/>
      <c r="BG69" s="572"/>
      <c r="BH69" s="572"/>
      <c r="BI69" s="572"/>
      <c r="BJ69" s="572"/>
      <c r="BK69" s="572"/>
      <c r="BL69" s="572"/>
      <c r="BM69" s="572"/>
      <c r="BN69" s="572"/>
      <c r="BO69" s="572"/>
      <c r="BP69" s="572"/>
      <c r="BQ69" s="572"/>
      <c r="BR69" s="572"/>
      <c r="BS69" s="572"/>
      <c r="BT69" s="572"/>
      <c r="BU69" s="572"/>
      <c r="BV69" s="572"/>
      <c r="BW69" s="572"/>
    </row>
    <row r="70" spans="1:75" x14ac:dyDescent="0.2">
      <c r="A70" s="689" t="str">
        <f t="shared" si="13"/>
        <v>FORA PONTA</v>
      </c>
      <c r="B70" s="571">
        <f t="shared" si="12"/>
        <v>1.6250000000000009</v>
      </c>
      <c r="C70" s="566" t="s">
        <v>358</v>
      </c>
      <c r="D70" s="569">
        <v>22</v>
      </c>
      <c r="E70" s="572">
        <f>'CT (CTR)'!G163</f>
        <v>1.57595353810788E-3</v>
      </c>
      <c r="F70" s="572">
        <f>'CT (CTR)'!H163</f>
        <v>1.74841038014995E-4</v>
      </c>
      <c r="G70" s="572">
        <f>'CT (CTR)'!I163</f>
        <v>1.09355121958469E-3</v>
      </c>
      <c r="H70" s="572">
        <f>'CT (CTR)'!J163</f>
        <v>0</v>
      </c>
      <c r="I70" s="572">
        <f>'CT (CTR)'!K163</f>
        <v>0</v>
      </c>
      <c r="J70" s="572">
        <f>'CT (CTR)'!L163</f>
        <v>0</v>
      </c>
      <c r="K70" s="572">
        <f>'CT (CTR)'!M163</f>
        <v>0</v>
      </c>
      <c r="L70" s="572">
        <f>'CT (CTR)'!N163</f>
        <v>0</v>
      </c>
      <c r="M70" s="572">
        <f>'CT (CTR)'!O163</f>
        <v>0</v>
      </c>
      <c r="N70" s="572">
        <f>'CT (CTR)'!P163</f>
        <v>0</v>
      </c>
      <c r="O70" s="572">
        <f>'CT (CTR)'!Q163</f>
        <v>0</v>
      </c>
      <c r="P70" s="572">
        <f>'CT (CTR)'!R163</f>
        <v>0</v>
      </c>
      <c r="Q70" s="572">
        <f>'CT (CTR)'!S163</f>
        <v>0</v>
      </c>
      <c r="R70" s="572">
        <f>'CT (CTR)'!T163</f>
        <v>0</v>
      </c>
      <c r="S70" s="572">
        <f>'CT (CTR)'!U163</f>
        <v>0</v>
      </c>
      <c r="T70" s="572">
        <f>'CT (CTR)'!V163</f>
        <v>0</v>
      </c>
      <c r="U70" s="572">
        <f>'CT (CTR)'!W163</f>
        <v>0</v>
      </c>
      <c r="V70" s="572">
        <f>'CT (CTR)'!X163</f>
        <v>0</v>
      </c>
      <c r="W70" s="572">
        <f>'CT (CTR)'!Y163</f>
        <v>0</v>
      </c>
      <c r="X70" s="572">
        <f>'CT (CTR)'!Z163</f>
        <v>0</v>
      </c>
      <c r="Y70" s="572">
        <f>'CT (CTR)'!AA163</f>
        <v>0</v>
      </c>
      <c r="Z70" s="572">
        <f>'CT (CTR)'!AB163</f>
        <v>0</v>
      </c>
      <c r="AA70" s="572">
        <f>'CT (CTR)'!AC163</f>
        <v>0</v>
      </c>
      <c r="AB70" s="572">
        <f>'CT (CTR)'!AD163</f>
        <v>0</v>
      </c>
      <c r="AC70" s="572">
        <f>'CT (CTR)'!AE163</f>
        <v>0</v>
      </c>
      <c r="AD70" s="572"/>
      <c r="AE70" s="572"/>
      <c r="AF70" s="572"/>
      <c r="AG70" s="572"/>
      <c r="AH70" s="572"/>
      <c r="AI70" s="572"/>
      <c r="AJ70" s="572"/>
      <c r="AK70" s="572"/>
      <c r="AL70" s="572"/>
      <c r="AM70" s="572"/>
      <c r="AN70" s="572"/>
      <c r="AO70" s="572"/>
      <c r="AP70" s="572"/>
      <c r="AQ70" s="572"/>
      <c r="AR70" s="572"/>
      <c r="AS70" s="572"/>
      <c r="AT70" s="572"/>
      <c r="AU70" s="572"/>
      <c r="AV70" s="572"/>
      <c r="AW70" s="572"/>
      <c r="AX70" s="572"/>
      <c r="AY70" s="572"/>
      <c r="AZ70" s="572"/>
      <c r="BA70" s="572"/>
      <c r="BB70" s="572"/>
      <c r="BC70" s="572"/>
      <c r="BD70" s="572"/>
      <c r="BE70" s="572"/>
      <c r="BF70" s="572"/>
      <c r="BG70" s="572"/>
      <c r="BH70" s="572"/>
      <c r="BI70" s="572"/>
      <c r="BJ70" s="572"/>
      <c r="BK70" s="572"/>
      <c r="BL70" s="572"/>
      <c r="BM70" s="572"/>
      <c r="BN70" s="572"/>
      <c r="BO70" s="572"/>
      <c r="BP70" s="572"/>
      <c r="BQ70" s="572"/>
      <c r="BR70" s="572"/>
      <c r="BS70" s="572"/>
      <c r="BT70" s="572"/>
      <c r="BU70" s="572"/>
      <c r="BV70" s="572"/>
      <c r="BW70" s="572"/>
    </row>
    <row r="71" spans="1:75" x14ac:dyDescent="0.2">
      <c r="A71" s="689" t="str">
        <f t="shared" si="13"/>
        <v>FORA PONTA</v>
      </c>
      <c r="B71" s="571">
        <f t="shared" si="12"/>
        <v>1.6666666666666676</v>
      </c>
      <c r="C71" s="566" t="s">
        <v>358</v>
      </c>
      <c r="D71" s="569">
        <v>23</v>
      </c>
      <c r="E71" s="572">
        <f>'CT (CTR)'!G164</f>
        <v>2.0543821966761901E-3</v>
      </c>
      <c r="F71" s="572">
        <f>'CT (CTR)'!H164</f>
        <v>8.9009982989452194E-5</v>
      </c>
      <c r="G71" s="572">
        <f>'CT (CTR)'!I164</f>
        <v>9.9341498872156206E-4</v>
      </c>
      <c r="H71" s="572">
        <f>'CT (CTR)'!J164</f>
        <v>0</v>
      </c>
      <c r="I71" s="572">
        <f>'CT (CTR)'!K164</f>
        <v>0</v>
      </c>
      <c r="J71" s="572">
        <f>'CT (CTR)'!L164</f>
        <v>0</v>
      </c>
      <c r="K71" s="572">
        <f>'CT (CTR)'!M164</f>
        <v>0</v>
      </c>
      <c r="L71" s="572">
        <f>'CT (CTR)'!N164</f>
        <v>0</v>
      </c>
      <c r="M71" s="572">
        <f>'CT (CTR)'!O164</f>
        <v>0</v>
      </c>
      <c r="N71" s="572">
        <f>'CT (CTR)'!P164</f>
        <v>0</v>
      </c>
      <c r="O71" s="572">
        <f>'CT (CTR)'!Q164</f>
        <v>0</v>
      </c>
      <c r="P71" s="572">
        <f>'CT (CTR)'!R164</f>
        <v>0</v>
      </c>
      <c r="Q71" s="572">
        <f>'CT (CTR)'!S164</f>
        <v>0</v>
      </c>
      <c r="R71" s="572">
        <f>'CT (CTR)'!T164</f>
        <v>0</v>
      </c>
      <c r="S71" s="572">
        <f>'CT (CTR)'!U164</f>
        <v>0</v>
      </c>
      <c r="T71" s="572">
        <f>'CT (CTR)'!V164</f>
        <v>0</v>
      </c>
      <c r="U71" s="572">
        <f>'CT (CTR)'!W164</f>
        <v>0</v>
      </c>
      <c r="V71" s="572">
        <f>'CT (CTR)'!X164</f>
        <v>0</v>
      </c>
      <c r="W71" s="572">
        <f>'CT (CTR)'!Y164</f>
        <v>0</v>
      </c>
      <c r="X71" s="572">
        <f>'CT (CTR)'!Z164</f>
        <v>0</v>
      </c>
      <c r="Y71" s="572">
        <f>'CT (CTR)'!AA164</f>
        <v>0</v>
      </c>
      <c r="Z71" s="572">
        <f>'CT (CTR)'!AB164</f>
        <v>0</v>
      </c>
      <c r="AA71" s="572">
        <f>'CT (CTR)'!AC164</f>
        <v>0</v>
      </c>
      <c r="AB71" s="572">
        <f>'CT (CTR)'!AD164</f>
        <v>0</v>
      </c>
      <c r="AC71" s="572">
        <f>'CT (CTR)'!AE164</f>
        <v>0</v>
      </c>
      <c r="AD71" s="572"/>
      <c r="AE71" s="572"/>
      <c r="AF71" s="572"/>
      <c r="AG71" s="572"/>
      <c r="AH71" s="572"/>
      <c r="AI71" s="572"/>
      <c r="AJ71" s="572"/>
      <c r="AK71" s="572"/>
      <c r="AL71" s="572"/>
      <c r="AM71" s="572"/>
      <c r="AN71" s="572"/>
      <c r="AO71" s="572"/>
      <c r="AP71" s="572"/>
      <c r="AQ71" s="572"/>
      <c r="AR71" s="572"/>
      <c r="AS71" s="572"/>
      <c r="AT71" s="572"/>
      <c r="AU71" s="572"/>
      <c r="AV71" s="572"/>
      <c r="AW71" s="572"/>
      <c r="AX71" s="572"/>
      <c r="AY71" s="572"/>
      <c r="AZ71" s="572"/>
      <c r="BA71" s="572"/>
      <c r="BB71" s="572"/>
      <c r="BC71" s="572"/>
      <c r="BD71" s="572"/>
      <c r="BE71" s="572"/>
      <c r="BF71" s="572"/>
      <c r="BG71" s="572"/>
      <c r="BH71" s="572"/>
      <c r="BI71" s="572"/>
      <c r="BJ71" s="572"/>
      <c r="BK71" s="572"/>
      <c r="BL71" s="572"/>
      <c r="BM71" s="572"/>
      <c r="BN71" s="572"/>
      <c r="BO71" s="572"/>
      <c r="BP71" s="572"/>
      <c r="BQ71" s="572"/>
      <c r="BR71" s="572"/>
      <c r="BS71" s="572"/>
      <c r="BT71" s="572"/>
      <c r="BU71" s="572"/>
      <c r="BV71" s="572"/>
      <c r="BW71" s="572"/>
    </row>
    <row r="72" spans="1:75" x14ac:dyDescent="0.2">
      <c r="A72" s="691" t="str">
        <f t="shared" si="13"/>
        <v>INTERMED</v>
      </c>
      <c r="B72" s="571">
        <f t="shared" si="12"/>
        <v>1.7083333333333344</v>
      </c>
      <c r="C72" s="566" t="s">
        <v>358</v>
      </c>
      <c r="D72" s="569">
        <v>24</v>
      </c>
      <c r="E72" s="572">
        <f>'CT (CTR)'!G165</f>
        <v>2.1123976320175201E-3</v>
      </c>
      <c r="F72" s="572">
        <f>'CT (CTR)'!H165</f>
        <v>3.3299270421946697E-4</v>
      </c>
      <c r="G72" s="572">
        <f>'CT (CTR)'!I165</f>
        <v>1.2405766379154799E-3</v>
      </c>
      <c r="H72" s="572">
        <f>'CT (CTR)'!J165</f>
        <v>0</v>
      </c>
      <c r="I72" s="572">
        <f>'CT (CTR)'!K165</f>
        <v>0</v>
      </c>
      <c r="J72" s="572">
        <f>'CT (CTR)'!L165</f>
        <v>0</v>
      </c>
      <c r="K72" s="572">
        <f>'CT (CTR)'!M165</f>
        <v>0</v>
      </c>
      <c r="L72" s="572">
        <f>'CT (CTR)'!N165</f>
        <v>0</v>
      </c>
      <c r="M72" s="572">
        <f>'CT (CTR)'!O165</f>
        <v>0</v>
      </c>
      <c r="N72" s="572">
        <f>'CT (CTR)'!P165</f>
        <v>0</v>
      </c>
      <c r="O72" s="572">
        <f>'CT (CTR)'!Q165</f>
        <v>0</v>
      </c>
      <c r="P72" s="572">
        <f>'CT (CTR)'!R165</f>
        <v>0</v>
      </c>
      <c r="Q72" s="572">
        <f>'CT (CTR)'!S165</f>
        <v>0</v>
      </c>
      <c r="R72" s="572">
        <f>'CT (CTR)'!T165</f>
        <v>0</v>
      </c>
      <c r="S72" s="572">
        <f>'CT (CTR)'!U165</f>
        <v>0</v>
      </c>
      <c r="T72" s="572">
        <f>'CT (CTR)'!V165</f>
        <v>0</v>
      </c>
      <c r="U72" s="572">
        <f>'CT (CTR)'!W165</f>
        <v>0</v>
      </c>
      <c r="V72" s="572">
        <f>'CT (CTR)'!X165</f>
        <v>0</v>
      </c>
      <c r="W72" s="572">
        <f>'CT (CTR)'!Y165</f>
        <v>0</v>
      </c>
      <c r="X72" s="572">
        <f>'CT (CTR)'!Z165</f>
        <v>0</v>
      </c>
      <c r="Y72" s="572">
        <f>'CT (CTR)'!AA165</f>
        <v>0</v>
      </c>
      <c r="Z72" s="572">
        <f>'CT (CTR)'!AB165</f>
        <v>0</v>
      </c>
      <c r="AA72" s="572">
        <f>'CT (CTR)'!AC165</f>
        <v>0</v>
      </c>
      <c r="AB72" s="572">
        <f>'CT (CTR)'!AD165</f>
        <v>0</v>
      </c>
      <c r="AC72" s="572">
        <f>'CT (CTR)'!AE165</f>
        <v>0</v>
      </c>
      <c r="AD72" s="572"/>
      <c r="AE72" s="572"/>
      <c r="AF72" s="572"/>
      <c r="AG72" s="572"/>
      <c r="AH72" s="572"/>
      <c r="AI72" s="572"/>
      <c r="AJ72" s="572"/>
      <c r="AK72" s="572"/>
      <c r="AL72" s="572"/>
      <c r="AM72" s="572"/>
      <c r="AN72" s="572"/>
      <c r="AO72" s="572"/>
      <c r="AP72" s="572"/>
      <c r="AQ72" s="572"/>
      <c r="AR72" s="572"/>
      <c r="AS72" s="572"/>
      <c r="AT72" s="572"/>
      <c r="AU72" s="572"/>
      <c r="AV72" s="572"/>
      <c r="AW72" s="572"/>
      <c r="AX72" s="572"/>
      <c r="AY72" s="572"/>
      <c r="AZ72" s="572"/>
      <c r="BA72" s="572"/>
      <c r="BB72" s="572"/>
      <c r="BC72" s="572"/>
      <c r="BD72" s="572"/>
      <c r="BE72" s="572"/>
      <c r="BF72" s="572"/>
      <c r="BG72" s="572"/>
      <c r="BH72" s="572"/>
      <c r="BI72" s="572"/>
      <c r="BJ72" s="572"/>
      <c r="BK72" s="572"/>
      <c r="BL72" s="572"/>
      <c r="BM72" s="572"/>
      <c r="BN72" s="572"/>
      <c r="BO72" s="572"/>
      <c r="BP72" s="572"/>
      <c r="BQ72" s="572"/>
      <c r="BR72" s="572"/>
      <c r="BS72" s="572"/>
      <c r="BT72" s="572"/>
      <c r="BU72" s="572"/>
      <c r="BV72" s="572"/>
      <c r="BW72" s="572"/>
    </row>
    <row r="73" spans="1:75" x14ac:dyDescent="0.2">
      <c r="B73" s="427"/>
      <c r="D73" s="573" t="s">
        <v>701</v>
      </c>
      <c r="E73" s="572">
        <f>'CT (CTR)'!G168</f>
        <v>1.12742552011905</v>
      </c>
      <c r="F73" s="572">
        <f>'CT (CTR)'!H168</f>
        <v>1.20581856694904</v>
      </c>
      <c r="G73" s="572">
        <f>'CT (CTR)'!I168</f>
        <v>1.1524772106293999</v>
      </c>
      <c r="H73" s="572">
        <f>'CT (CTR)'!J168</f>
        <v>0</v>
      </c>
      <c r="I73" s="572">
        <f>'CT (CTR)'!K168</f>
        <v>0</v>
      </c>
      <c r="J73" s="572">
        <f>'CT (CTR)'!L168</f>
        <v>0</v>
      </c>
      <c r="K73" s="572">
        <f>'CT (CTR)'!M168</f>
        <v>0</v>
      </c>
      <c r="L73" s="572">
        <f>'CT (CTR)'!N168</f>
        <v>0</v>
      </c>
      <c r="M73" s="572">
        <f>'CT (CTR)'!O168</f>
        <v>0</v>
      </c>
      <c r="N73" s="572">
        <f>'CT (CTR)'!P168</f>
        <v>0</v>
      </c>
      <c r="O73" s="572">
        <f>'CT (CTR)'!Q168</f>
        <v>0</v>
      </c>
      <c r="P73" s="572">
        <f>'CT (CTR)'!R168</f>
        <v>0</v>
      </c>
      <c r="Q73" s="572">
        <f>'CT (CTR)'!S168</f>
        <v>0</v>
      </c>
      <c r="R73" s="572">
        <f>'CT (CTR)'!T168</f>
        <v>0</v>
      </c>
      <c r="S73" s="572">
        <f>'CT (CTR)'!U168</f>
        <v>0</v>
      </c>
      <c r="T73" s="572">
        <f>'CT (CTR)'!V168</f>
        <v>0</v>
      </c>
      <c r="U73" s="572">
        <f>'CT (CTR)'!W168</f>
        <v>0</v>
      </c>
      <c r="V73" s="572">
        <f>'CT (CTR)'!X168</f>
        <v>0</v>
      </c>
      <c r="W73" s="572">
        <f>'CT (CTR)'!Y168</f>
        <v>0</v>
      </c>
      <c r="X73" s="572">
        <f>'CT (CTR)'!Z168</f>
        <v>0</v>
      </c>
      <c r="Y73" s="572">
        <f>'CT (CTR)'!AA168</f>
        <v>0</v>
      </c>
      <c r="Z73" s="572">
        <f>'CT (CTR)'!AB168</f>
        <v>0</v>
      </c>
      <c r="AA73" s="572">
        <f>'CT (CTR)'!AC168</f>
        <v>0</v>
      </c>
      <c r="AB73" s="572">
        <f>'CT (CTR)'!AD168</f>
        <v>0</v>
      </c>
      <c r="AC73" s="572">
        <f>'CT (CTR)'!AE168</f>
        <v>0</v>
      </c>
      <c r="AD73" s="572"/>
      <c r="AE73" s="572"/>
      <c r="AF73" s="572"/>
      <c r="AG73" s="572"/>
      <c r="AH73" s="572"/>
      <c r="AI73" s="572"/>
      <c r="AJ73" s="572"/>
      <c r="AK73" s="572"/>
      <c r="AL73" s="572"/>
      <c r="AM73" s="572"/>
      <c r="AN73" s="572"/>
      <c r="AO73" s="572"/>
      <c r="AP73" s="572"/>
      <c r="AQ73" s="572"/>
      <c r="AR73" s="572"/>
      <c r="AS73" s="572"/>
      <c r="AT73" s="572"/>
      <c r="AU73" s="572"/>
      <c r="AV73" s="572"/>
      <c r="AW73" s="572"/>
      <c r="AX73" s="572"/>
      <c r="AY73" s="572"/>
      <c r="AZ73" s="572"/>
      <c r="BA73" s="572"/>
      <c r="BB73" s="572"/>
      <c r="BC73" s="572"/>
      <c r="BD73" s="572"/>
      <c r="BE73" s="572"/>
      <c r="BF73" s="572"/>
      <c r="BG73" s="572"/>
      <c r="BH73" s="572"/>
      <c r="BI73" s="572"/>
      <c r="BJ73" s="572"/>
      <c r="BK73" s="572"/>
      <c r="BL73" s="572"/>
      <c r="BM73" s="572"/>
      <c r="BN73" s="572"/>
      <c r="BO73" s="572"/>
      <c r="BP73" s="572"/>
      <c r="BQ73" s="572"/>
      <c r="BR73" s="572"/>
      <c r="BS73" s="572"/>
      <c r="BT73" s="572"/>
      <c r="BU73" s="572"/>
      <c r="BV73" s="572"/>
      <c r="BW73" s="572"/>
    </row>
    <row r="74" spans="1:75" x14ac:dyDescent="0.2">
      <c r="B74" s="427"/>
      <c r="D74" s="573" t="s">
        <v>702</v>
      </c>
      <c r="E74" s="572">
        <f>'CT (CTR)'!G169</f>
        <v>0.91739371480260301</v>
      </c>
      <c r="F74" s="572">
        <f>'CT (CTR)'!H169</f>
        <v>0.84599663215660603</v>
      </c>
      <c r="G74" s="572">
        <f>'CT (CTR)'!I169</f>
        <v>1.1684358149769101</v>
      </c>
      <c r="H74" s="572">
        <f>'CT (CTR)'!J169</f>
        <v>0</v>
      </c>
      <c r="I74" s="572">
        <f>'CT (CTR)'!K169</f>
        <v>0</v>
      </c>
      <c r="J74" s="572">
        <f>'CT (CTR)'!L169</f>
        <v>0</v>
      </c>
      <c r="K74" s="572">
        <f>'CT (CTR)'!M169</f>
        <v>0</v>
      </c>
      <c r="L74" s="572">
        <f>'CT (CTR)'!N169</f>
        <v>0</v>
      </c>
      <c r="M74" s="572">
        <f>'CT (CTR)'!O169</f>
        <v>0</v>
      </c>
      <c r="N74" s="572">
        <f>'CT (CTR)'!P169</f>
        <v>0</v>
      </c>
      <c r="O74" s="572">
        <f>'CT (CTR)'!Q169</f>
        <v>0</v>
      </c>
      <c r="P74" s="572">
        <f>'CT (CTR)'!R169</f>
        <v>0</v>
      </c>
      <c r="Q74" s="572">
        <f>'CT (CTR)'!S169</f>
        <v>0</v>
      </c>
      <c r="R74" s="572">
        <f>'CT (CTR)'!T169</f>
        <v>0</v>
      </c>
      <c r="S74" s="572">
        <f>'CT (CTR)'!U169</f>
        <v>0</v>
      </c>
      <c r="T74" s="572">
        <f>'CT (CTR)'!V169</f>
        <v>0</v>
      </c>
      <c r="U74" s="572">
        <f>'CT (CTR)'!W169</f>
        <v>0</v>
      </c>
      <c r="V74" s="572">
        <f>'CT (CTR)'!X169</f>
        <v>0</v>
      </c>
      <c r="W74" s="572">
        <f>'CT (CTR)'!Y169</f>
        <v>0</v>
      </c>
      <c r="X74" s="572">
        <f>'CT (CTR)'!Z169</f>
        <v>0</v>
      </c>
      <c r="Y74" s="572">
        <f>'CT (CTR)'!AA169</f>
        <v>0</v>
      </c>
      <c r="Z74" s="572">
        <f>'CT (CTR)'!AB169</f>
        <v>0</v>
      </c>
      <c r="AA74" s="572">
        <f>'CT (CTR)'!AC169</f>
        <v>0</v>
      </c>
      <c r="AB74" s="572">
        <f>'CT (CTR)'!AD169</f>
        <v>0</v>
      </c>
      <c r="AC74" s="572">
        <f>'CT (CTR)'!AE169</f>
        <v>0</v>
      </c>
      <c r="AD74" s="572"/>
      <c r="AE74" s="572"/>
      <c r="AF74" s="572"/>
      <c r="AG74" s="572"/>
      <c r="AH74" s="572"/>
      <c r="AI74" s="572"/>
      <c r="AJ74" s="572"/>
      <c r="AK74" s="572"/>
      <c r="AL74" s="572"/>
      <c r="AM74" s="572"/>
      <c r="AN74" s="572"/>
      <c r="AO74" s="572"/>
      <c r="AP74" s="572"/>
      <c r="AQ74" s="572"/>
      <c r="AR74" s="572"/>
      <c r="AS74" s="572"/>
      <c r="AT74" s="572"/>
      <c r="AU74" s="572"/>
      <c r="AV74" s="572"/>
      <c r="AW74" s="572"/>
      <c r="AX74" s="572"/>
      <c r="AY74" s="572"/>
      <c r="AZ74" s="572"/>
      <c r="BA74" s="572"/>
      <c r="BB74" s="572"/>
      <c r="BC74" s="572"/>
      <c r="BD74" s="572"/>
      <c r="BE74" s="572"/>
      <c r="BF74" s="572"/>
      <c r="BG74" s="572"/>
      <c r="BH74" s="572"/>
      <c r="BI74" s="572"/>
      <c r="BJ74" s="572"/>
      <c r="BK74" s="572"/>
      <c r="BL74" s="572"/>
      <c r="BM74" s="572"/>
      <c r="BN74" s="572"/>
      <c r="BO74" s="572"/>
      <c r="BP74" s="572"/>
      <c r="BQ74" s="572"/>
      <c r="BR74" s="572"/>
      <c r="BS74" s="572"/>
      <c r="BT74" s="572"/>
      <c r="BU74" s="572"/>
      <c r="BV74" s="572"/>
      <c r="BW74" s="572"/>
    </row>
    <row r="75" spans="1:75" x14ac:dyDescent="0.2">
      <c r="B75" s="427"/>
      <c r="D75" s="573" t="s">
        <v>703</v>
      </c>
      <c r="E75" s="572">
        <f>'CT (CTR)'!G170</f>
        <v>9.9844627801003902</v>
      </c>
      <c r="F75" s="572">
        <f>'CT (CTR)'!H170</f>
        <v>2.4215109802174699</v>
      </c>
      <c r="G75" s="572">
        <f>'CT (CTR)'!I170</f>
        <v>12.595026239682101</v>
      </c>
      <c r="H75" s="572">
        <f>'CT (CTR)'!J170</f>
        <v>0</v>
      </c>
      <c r="I75" s="572">
        <f>'CT (CTR)'!K170</f>
        <v>0</v>
      </c>
      <c r="J75" s="572">
        <f>'CT (CTR)'!L170</f>
        <v>0</v>
      </c>
      <c r="K75" s="572">
        <f>'CT (CTR)'!M170</f>
        <v>0</v>
      </c>
      <c r="L75" s="572">
        <f>'CT (CTR)'!N170</f>
        <v>0</v>
      </c>
      <c r="M75" s="572">
        <f>'CT (CTR)'!O170</f>
        <v>0</v>
      </c>
      <c r="N75" s="572">
        <f>'CT (CTR)'!P170</f>
        <v>0</v>
      </c>
      <c r="O75" s="572">
        <f>'CT (CTR)'!Q170</f>
        <v>0</v>
      </c>
      <c r="P75" s="572">
        <f>'CT (CTR)'!R170</f>
        <v>0</v>
      </c>
      <c r="Q75" s="572">
        <f>'CT (CTR)'!S170</f>
        <v>0</v>
      </c>
      <c r="R75" s="572">
        <f>'CT (CTR)'!T170</f>
        <v>0</v>
      </c>
      <c r="S75" s="572">
        <f>'CT (CTR)'!U170</f>
        <v>0</v>
      </c>
      <c r="T75" s="572">
        <f>'CT (CTR)'!V170</f>
        <v>0</v>
      </c>
      <c r="U75" s="572">
        <f>'CT (CTR)'!W170</f>
        <v>0</v>
      </c>
      <c r="V75" s="572">
        <f>'CT (CTR)'!X170</f>
        <v>0</v>
      </c>
      <c r="W75" s="572">
        <f>'CT (CTR)'!Y170</f>
        <v>0</v>
      </c>
      <c r="X75" s="572">
        <f>'CT (CTR)'!Z170</f>
        <v>0</v>
      </c>
      <c r="Y75" s="572">
        <f>'CT (CTR)'!AA170</f>
        <v>0</v>
      </c>
      <c r="Z75" s="572">
        <f>'CT (CTR)'!AB170</f>
        <v>0</v>
      </c>
      <c r="AA75" s="572">
        <f>'CT (CTR)'!AC170</f>
        <v>0</v>
      </c>
      <c r="AB75" s="572">
        <f>'CT (CTR)'!AD170</f>
        <v>0</v>
      </c>
      <c r="AC75" s="572">
        <f>'CT (CTR)'!AE170</f>
        <v>0</v>
      </c>
      <c r="AD75" s="572"/>
      <c r="AE75" s="572"/>
      <c r="AF75" s="572"/>
      <c r="AG75" s="572"/>
      <c r="AH75" s="572"/>
      <c r="AI75" s="572"/>
      <c r="AJ75" s="572"/>
      <c r="AK75" s="572"/>
      <c r="AL75" s="572"/>
      <c r="AM75" s="572"/>
      <c r="AN75" s="572"/>
      <c r="AO75" s="572"/>
      <c r="AP75" s="572"/>
      <c r="AQ75" s="572"/>
      <c r="AR75" s="572"/>
      <c r="AS75" s="572"/>
      <c r="AT75" s="572"/>
      <c r="AU75" s="572"/>
      <c r="AV75" s="572"/>
      <c r="AW75" s="572"/>
      <c r="AX75" s="572"/>
      <c r="AY75" s="572"/>
      <c r="AZ75" s="572"/>
      <c r="BA75" s="572"/>
      <c r="BB75" s="572"/>
      <c r="BC75" s="572"/>
      <c r="BD75" s="572"/>
      <c r="BE75" s="572"/>
      <c r="BF75" s="572"/>
      <c r="BG75" s="572"/>
      <c r="BH75" s="572"/>
      <c r="BI75" s="572"/>
      <c r="BJ75" s="572"/>
      <c r="BK75" s="572"/>
      <c r="BL75" s="572"/>
      <c r="BM75" s="572"/>
      <c r="BN75" s="572"/>
      <c r="BO75" s="572"/>
      <c r="BP75" s="572"/>
      <c r="BQ75" s="572"/>
      <c r="BR75" s="572"/>
      <c r="BS75" s="572"/>
      <c r="BT75" s="572"/>
      <c r="BU75" s="572"/>
      <c r="BV75" s="572"/>
      <c r="BW75" s="572"/>
    </row>
    <row r="76" spans="1:75" x14ac:dyDescent="0.2">
      <c r="D76" s="574" t="s">
        <v>172</v>
      </c>
      <c r="E76" s="575">
        <f>SUM(E49:E51)*252</f>
        <v>1.4407600896587607</v>
      </c>
      <c r="F76" s="575">
        <f t="shared" ref="F76:BQ76" si="14">SUM(F49:F51)*252</f>
        <v>0.17804221847465154</v>
      </c>
      <c r="G76" s="575">
        <f t="shared" si="14"/>
        <v>2.0543949123880445</v>
      </c>
      <c r="H76" s="575">
        <f t="shared" si="14"/>
        <v>0</v>
      </c>
      <c r="I76" s="575">
        <f t="shared" si="14"/>
        <v>0</v>
      </c>
      <c r="J76" s="575">
        <f t="shared" si="14"/>
        <v>0</v>
      </c>
      <c r="K76" s="575">
        <f t="shared" si="14"/>
        <v>0</v>
      </c>
      <c r="L76" s="575">
        <f t="shared" si="14"/>
        <v>0</v>
      </c>
      <c r="M76" s="575">
        <f t="shared" si="14"/>
        <v>0</v>
      </c>
      <c r="N76" s="575">
        <f t="shared" si="14"/>
        <v>0</v>
      </c>
      <c r="O76" s="575">
        <f t="shared" si="14"/>
        <v>0</v>
      </c>
      <c r="P76" s="575">
        <f t="shared" si="14"/>
        <v>0</v>
      </c>
      <c r="Q76" s="575">
        <f t="shared" si="14"/>
        <v>0</v>
      </c>
      <c r="R76" s="575">
        <f t="shared" si="14"/>
        <v>0</v>
      </c>
      <c r="S76" s="575">
        <f t="shared" si="14"/>
        <v>0</v>
      </c>
      <c r="T76" s="575">
        <f t="shared" si="14"/>
        <v>0</v>
      </c>
      <c r="U76" s="575">
        <f t="shared" si="14"/>
        <v>0</v>
      </c>
      <c r="V76" s="575">
        <f t="shared" si="14"/>
        <v>0</v>
      </c>
      <c r="W76" s="575">
        <f t="shared" si="14"/>
        <v>0</v>
      </c>
      <c r="X76" s="575">
        <f t="shared" si="14"/>
        <v>0</v>
      </c>
      <c r="Y76" s="575">
        <f t="shared" si="14"/>
        <v>0</v>
      </c>
      <c r="Z76" s="575">
        <f t="shared" si="14"/>
        <v>0</v>
      </c>
      <c r="AA76" s="575">
        <f t="shared" si="14"/>
        <v>0</v>
      </c>
      <c r="AB76" s="575">
        <f t="shared" si="14"/>
        <v>0</v>
      </c>
      <c r="AC76" s="575">
        <f t="shared" si="14"/>
        <v>0</v>
      </c>
      <c r="AD76" s="575">
        <f t="shared" si="14"/>
        <v>0</v>
      </c>
      <c r="AE76" s="575">
        <f t="shared" si="14"/>
        <v>0</v>
      </c>
      <c r="AF76" s="575">
        <f t="shared" si="14"/>
        <v>0</v>
      </c>
      <c r="AG76" s="575">
        <f t="shared" si="14"/>
        <v>0</v>
      </c>
      <c r="AH76" s="575">
        <f t="shared" si="14"/>
        <v>0</v>
      </c>
      <c r="AI76" s="575">
        <f t="shared" si="14"/>
        <v>0</v>
      </c>
      <c r="AJ76" s="575">
        <f t="shared" si="14"/>
        <v>0</v>
      </c>
      <c r="AK76" s="575">
        <f t="shared" si="14"/>
        <v>0</v>
      </c>
      <c r="AL76" s="575">
        <f t="shared" si="14"/>
        <v>0</v>
      </c>
      <c r="AM76" s="575">
        <f t="shared" si="14"/>
        <v>0</v>
      </c>
      <c r="AN76" s="575">
        <f t="shared" si="14"/>
        <v>0</v>
      </c>
      <c r="AO76" s="575">
        <f t="shared" si="14"/>
        <v>0</v>
      </c>
      <c r="AP76" s="575">
        <f t="shared" si="14"/>
        <v>0</v>
      </c>
      <c r="AQ76" s="575">
        <f t="shared" si="14"/>
        <v>0</v>
      </c>
      <c r="AR76" s="575">
        <f t="shared" si="14"/>
        <v>0</v>
      </c>
      <c r="AS76" s="575">
        <f t="shared" si="14"/>
        <v>0</v>
      </c>
      <c r="AT76" s="575">
        <f t="shared" si="14"/>
        <v>0</v>
      </c>
      <c r="AU76" s="575">
        <f t="shared" si="14"/>
        <v>0</v>
      </c>
      <c r="AV76" s="575">
        <f t="shared" si="14"/>
        <v>0</v>
      </c>
      <c r="AW76" s="575">
        <f t="shared" si="14"/>
        <v>0</v>
      </c>
      <c r="AX76" s="575">
        <f t="shared" si="14"/>
        <v>0</v>
      </c>
      <c r="AY76" s="575">
        <f t="shared" si="14"/>
        <v>0</v>
      </c>
      <c r="AZ76" s="575">
        <f t="shared" si="14"/>
        <v>0</v>
      </c>
      <c r="BA76" s="575">
        <f t="shared" si="14"/>
        <v>0</v>
      </c>
      <c r="BB76" s="575">
        <f t="shared" si="14"/>
        <v>0</v>
      </c>
      <c r="BC76" s="575">
        <f t="shared" si="14"/>
        <v>0</v>
      </c>
      <c r="BD76" s="575">
        <f t="shared" si="14"/>
        <v>0</v>
      </c>
      <c r="BE76" s="575">
        <f t="shared" si="14"/>
        <v>0</v>
      </c>
      <c r="BF76" s="575">
        <f t="shared" si="14"/>
        <v>0</v>
      </c>
      <c r="BG76" s="575">
        <f t="shared" si="14"/>
        <v>0</v>
      </c>
      <c r="BH76" s="575">
        <f t="shared" si="14"/>
        <v>0</v>
      </c>
      <c r="BI76" s="575">
        <f t="shared" si="14"/>
        <v>0</v>
      </c>
      <c r="BJ76" s="575">
        <f t="shared" si="14"/>
        <v>0</v>
      </c>
      <c r="BK76" s="575">
        <f t="shared" si="14"/>
        <v>0</v>
      </c>
      <c r="BL76" s="575">
        <f t="shared" si="14"/>
        <v>0</v>
      </c>
      <c r="BM76" s="575">
        <f t="shared" si="14"/>
        <v>0</v>
      </c>
      <c r="BN76" s="575">
        <f t="shared" si="14"/>
        <v>0</v>
      </c>
      <c r="BO76" s="575">
        <f t="shared" si="14"/>
        <v>0</v>
      </c>
      <c r="BP76" s="575">
        <f t="shared" si="14"/>
        <v>0</v>
      </c>
      <c r="BQ76" s="575">
        <f t="shared" si="14"/>
        <v>0</v>
      </c>
      <c r="BR76" s="575">
        <f t="shared" ref="BR76:BW76" si="15">SUM(BR49:BR51)*252</f>
        <v>0</v>
      </c>
      <c r="BS76" s="575">
        <f t="shared" si="15"/>
        <v>0</v>
      </c>
      <c r="BT76" s="575">
        <f t="shared" si="15"/>
        <v>0</v>
      </c>
      <c r="BU76" s="575">
        <f t="shared" si="15"/>
        <v>0</v>
      </c>
      <c r="BV76" s="575">
        <f t="shared" si="15"/>
        <v>0</v>
      </c>
      <c r="BW76" s="575">
        <f t="shared" si="15"/>
        <v>0</v>
      </c>
    </row>
    <row r="77" spans="1:75" x14ac:dyDescent="0.2">
      <c r="D77" s="574" t="s">
        <v>704</v>
      </c>
      <c r="E77" s="575">
        <f>SUMIF($A$16:$A$36,"INTERMED",E52:E72)*252</f>
        <v>1.1319399536768568</v>
      </c>
      <c r="F77" s="575">
        <f t="shared" ref="F77:BQ77" si="16">SUMIF($A$16:$A$36,"INTERMED",F52:F72)*252</f>
        <v>0.15781469984029814</v>
      </c>
      <c r="G77" s="575">
        <f t="shared" si="16"/>
        <v>0.69414435234323923</v>
      </c>
      <c r="H77" s="575">
        <f t="shared" si="16"/>
        <v>0</v>
      </c>
      <c r="I77" s="575">
        <f t="shared" si="16"/>
        <v>0</v>
      </c>
      <c r="J77" s="575">
        <f t="shared" si="16"/>
        <v>0</v>
      </c>
      <c r="K77" s="575">
        <f t="shared" si="16"/>
        <v>0</v>
      </c>
      <c r="L77" s="575">
        <f t="shared" si="16"/>
        <v>0</v>
      </c>
      <c r="M77" s="575">
        <f t="shared" si="16"/>
        <v>0</v>
      </c>
      <c r="N77" s="575">
        <f t="shared" si="16"/>
        <v>0</v>
      </c>
      <c r="O77" s="575">
        <f t="shared" si="16"/>
        <v>0</v>
      </c>
      <c r="P77" s="575">
        <f t="shared" si="16"/>
        <v>0</v>
      </c>
      <c r="Q77" s="575">
        <f t="shared" si="16"/>
        <v>0</v>
      </c>
      <c r="R77" s="575">
        <f t="shared" si="16"/>
        <v>0</v>
      </c>
      <c r="S77" s="575">
        <f t="shared" si="16"/>
        <v>0</v>
      </c>
      <c r="T77" s="575">
        <f t="shared" si="16"/>
        <v>0</v>
      </c>
      <c r="U77" s="575">
        <f t="shared" si="16"/>
        <v>0</v>
      </c>
      <c r="V77" s="575">
        <f t="shared" si="16"/>
        <v>0</v>
      </c>
      <c r="W77" s="575">
        <f t="shared" si="16"/>
        <v>0</v>
      </c>
      <c r="X77" s="575">
        <f t="shared" si="16"/>
        <v>0</v>
      </c>
      <c r="Y77" s="575">
        <f t="shared" si="16"/>
        <v>0</v>
      </c>
      <c r="Z77" s="575">
        <f t="shared" si="16"/>
        <v>0</v>
      </c>
      <c r="AA77" s="575">
        <f t="shared" si="16"/>
        <v>0</v>
      </c>
      <c r="AB77" s="575">
        <f t="shared" si="16"/>
        <v>0</v>
      </c>
      <c r="AC77" s="575">
        <f t="shared" si="16"/>
        <v>0</v>
      </c>
      <c r="AD77" s="575">
        <f t="shared" si="16"/>
        <v>0</v>
      </c>
      <c r="AE77" s="575">
        <f t="shared" si="16"/>
        <v>0</v>
      </c>
      <c r="AF77" s="575">
        <f t="shared" si="16"/>
        <v>0</v>
      </c>
      <c r="AG77" s="575">
        <f t="shared" si="16"/>
        <v>0</v>
      </c>
      <c r="AH77" s="575">
        <f t="shared" si="16"/>
        <v>0</v>
      </c>
      <c r="AI77" s="575">
        <f t="shared" si="16"/>
        <v>0</v>
      </c>
      <c r="AJ77" s="575">
        <f t="shared" si="16"/>
        <v>0</v>
      </c>
      <c r="AK77" s="575">
        <f t="shared" si="16"/>
        <v>0</v>
      </c>
      <c r="AL77" s="575">
        <f t="shared" si="16"/>
        <v>0</v>
      </c>
      <c r="AM77" s="575">
        <f t="shared" si="16"/>
        <v>0</v>
      </c>
      <c r="AN77" s="575">
        <f t="shared" si="16"/>
        <v>0</v>
      </c>
      <c r="AO77" s="575">
        <f t="shared" si="16"/>
        <v>0</v>
      </c>
      <c r="AP77" s="575">
        <f t="shared" si="16"/>
        <v>0</v>
      </c>
      <c r="AQ77" s="575">
        <f t="shared" si="16"/>
        <v>0</v>
      </c>
      <c r="AR77" s="575">
        <f t="shared" si="16"/>
        <v>0</v>
      </c>
      <c r="AS77" s="575">
        <f t="shared" si="16"/>
        <v>0</v>
      </c>
      <c r="AT77" s="575">
        <f t="shared" si="16"/>
        <v>0</v>
      </c>
      <c r="AU77" s="575">
        <f t="shared" si="16"/>
        <v>0</v>
      </c>
      <c r="AV77" s="575">
        <f t="shared" si="16"/>
        <v>0</v>
      </c>
      <c r="AW77" s="575">
        <f t="shared" si="16"/>
        <v>0</v>
      </c>
      <c r="AX77" s="575">
        <f t="shared" si="16"/>
        <v>0</v>
      </c>
      <c r="AY77" s="575">
        <f t="shared" si="16"/>
        <v>0</v>
      </c>
      <c r="AZ77" s="575">
        <f t="shared" si="16"/>
        <v>0</v>
      </c>
      <c r="BA77" s="575">
        <f t="shared" si="16"/>
        <v>0</v>
      </c>
      <c r="BB77" s="575">
        <f t="shared" si="16"/>
        <v>0</v>
      </c>
      <c r="BC77" s="575">
        <f t="shared" si="16"/>
        <v>0</v>
      </c>
      <c r="BD77" s="575">
        <f t="shared" si="16"/>
        <v>0</v>
      </c>
      <c r="BE77" s="575">
        <f t="shared" si="16"/>
        <v>0</v>
      </c>
      <c r="BF77" s="575">
        <f t="shared" si="16"/>
        <v>0</v>
      </c>
      <c r="BG77" s="575">
        <f t="shared" si="16"/>
        <v>0</v>
      </c>
      <c r="BH77" s="575">
        <f t="shared" si="16"/>
        <v>0</v>
      </c>
      <c r="BI77" s="575">
        <f t="shared" si="16"/>
        <v>0</v>
      </c>
      <c r="BJ77" s="575">
        <f t="shared" si="16"/>
        <v>0</v>
      </c>
      <c r="BK77" s="575">
        <f t="shared" si="16"/>
        <v>0</v>
      </c>
      <c r="BL77" s="575">
        <f t="shared" si="16"/>
        <v>0</v>
      </c>
      <c r="BM77" s="575">
        <f t="shared" si="16"/>
        <v>0</v>
      </c>
      <c r="BN77" s="575">
        <f t="shared" si="16"/>
        <v>0</v>
      </c>
      <c r="BO77" s="575">
        <f t="shared" si="16"/>
        <v>0</v>
      </c>
      <c r="BP77" s="575">
        <f t="shared" si="16"/>
        <v>0</v>
      </c>
      <c r="BQ77" s="575">
        <f t="shared" si="16"/>
        <v>0</v>
      </c>
      <c r="BR77" s="575">
        <f t="shared" ref="BR77:BW77" si="17">SUMIF($A$16:$A$36,"INTERMED",BR52:BR72)*252</f>
        <v>0</v>
      </c>
      <c r="BS77" s="575">
        <f t="shared" si="17"/>
        <v>0</v>
      </c>
      <c r="BT77" s="575">
        <f t="shared" si="17"/>
        <v>0</v>
      </c>
      <c r="BU77" s="575">
        <f t="shared" si="17"/>
        <v>0</v>
      </c>
      <c r="BV77" s="575">
        <f t="shared" si="17"/>
        <v>0</v>
      </c>
      <c r="BW77" s="575">
        <f t="shared" si="17"/>
        <v>0</v>
      </c>
    </row>
    <row r="78" spans="1:75" x14ac:dyDescent="0.2">
      <c r="D78" s="574" t="s">
        <v>173</v>
      </c>
      <c r="E78" s="575">
        <f>SUMIF($A$16:$A$36, "FORA PONTA",E52:E72)*252+SUM(E49:E72)*(E73*52+E74*61)</f>
        <v>7.411762736764766</v>
      </c>
      <c r="F78" s="575">
        <f t="shared" ref="F78:BQ78" si="18">SUMIF($A$16:$A$36, "FORA PONTA",F52:F72)*252+SUM(F49:F72)*(F73*52+F74*61)</f>
        <v>2.085654061902527</v>
      </c>
      <c r="G78" s="575">
        <f t="shared" si="18"/>
        <v>9.8464869749508637</v>
      </c>
      <c r="H78" s="575">
        <f t="shared" si="18"/>
        <v>0</v>
      </c>
      <c r="I78" s="575">
        <f t="shared" si="18"/>
        <v>0</v>
      </c>
      <c r="J78" s="575">
        <f t="shared" si="18"/>
        <v>0</v>
      </c>
      <c r="K78" s="575">
        <f t="shared" si="18"/>
        <v>0</v>
      </c>
      <c r="L78" s="575">
        <f t="shared" si="18"/>
        <v>0</v>
      </c>
      <c r="M78" s="575">
        <f t="shared" si="18"/>
        <v>0</v>
      </c>
      <c r="N78" s="575">
        <f t="shared" si="18"/>
        <v>0</v>
      </c>
      <c r="O78" s="575">
        <f t="shared" si="18"/>
        <v>0</v>
      </c>
      <c r="P78" s="575">
        <f t="shared" si="18"/>
        <v>0</v>
      </c>
      <c r="Q78" s="575">
        <f t="shared" si="18"/>
        <v>0</v>
      </c>
      <c r="R78" s="575">
        <f t="shared" si="18"/>
        <v>0</v>
      </c>
      <c r="S78" s="575">
        <f t="shared" si="18"/>
        <v>0</v>
      </c>
      <c r="T78" s="575">
        <f t="shared" si="18"/>
        <v>0</v>
      </c>
      <c r="U78" s="575">
        <f t="shared" si="18"/>
        <v>0</v>
      </c>
      <c r="V78" s="575">
        <f t="shared" si="18"/>
        <v>0</v>
      </c>
      <c r="W78" s="575">
        <f t="shared" si="18"/>
        <v>0</v>
      </c>
      <c r="X78" s="575">
        <f t="shared" si="18"/>
        <v>0</v>
      </c>
      <c r="Y78" s="575">
        <f t="shared" si="18"/>
        <v>0</v>
      </c>
      <c r="Z78" s="575">
        <f t="shared" si="18"/>
        <v>0</v>
      </c>
      <c r="AA78" s="575">
        <f t="shared" si="18"/>
        <v>0</v>
      </c>
      <c r="AB78" s="575">
        <f t="shared" si="18"/>
        <v>0</v>
      </c>
      <c r="AC78" s="575">
        <f t="shared" si="18"/>
        <v>0</v>
      </c>
      <c r="AD78" s="575">
        <f t="shared" si="18"/>
        <v>0</v>
      </c>
      <c r="AE78" s="575">
        <f t="shared" si="18"/>
        <v>0</v>
      </c>
      <c r="AF78" s="575">
        <f t="shared" si="18"/>
        <v>0</v>
      </c>
      <c r="AG78" s="575">
        <f t="shared" si="18"/>
        <v>0</v>
      </c>
      <c r="AH78" s="575">
        <f t="shared" si="18"/>
        <v>0</v>
      </c>
      <c r="AI78" s="575">
        <f t="shared" si="18"/>
        <v>0</v>
      </c>
      <c r="AJ78" s="575">
        <f t="shared" si="18"/>
        <v>0</v>
      </c>
      <c r="AK78" s="575">
        <f t="shared" si="18"/>
        <v>0</v>
      </c>
      <c r="AL78" s="575">
        <f t="shared" si="18"/>
        <v>0</v>
      </c>
      <c r="AM78" s="575">
        <f t="shared" si="18"/>
        <v>0</v>
      </c>
      <c r="AN78" s="575">
        <f t="shared" si="18"/>
        <v>0</v>
      </c>
      <c r="AO78" s="575">
        <f t="shared" si="18"/>
        <v>0</v>
      </c>
      <c r="AP78" s="575">
        <f t="shared" si="18"/>
        <v>0</v>
      </c>
      <c r="AQ78" s="575">
        <f t="shared" si="18"/>
        <v>0</v>
      </c>
      <c r="AR78" s="575">
        <f t="shared" si="18"/>
        <v>0</v>
      </c>
      <c r="AS78" s="575">
        <f t="shared" si="18"/>
        <v>0</v>
      </c>
      <c r="AT78" s="575">
        <f t="shared" si="18"/>
        <v>0</v>
      </c>
      <c r="AU78" s="575">
        <f t="shared" si="18"/>
        <v>0</v>
      </c>
      <c r="AV78" s="575">
        <f t="shared" si="18"/>
        <v>0</v>
      </c>
      <c r="AW78" s="575">
        <f t="shared" si="18"/>
        <v>0</v>
      </c>
      <c r="AX78" s="575">
        <f t="shared" si="18"/>
        <v>0</v>
      </c>
      <c r="AY78" s="575">
        <f t="shared" si="18"/>
        <v>0</v>
      </c>
      <c r="AZ78" s="575">
        <f t="shared" si="18"/>
        <v>0</v>
      </c>
      <c r="BA78" s="575">
        <f t="shared" si="18"/>
        <v>0</v>
      </c>
      <c r="BB78" s="575">
        <f t="shared" si="18"/>
        <v>0</v>
      </c>
      <c r="BC78" s="575">
        <f t="shared" si="18"/>
        <v>0</v>
      </c>
      <c r="BD78" s="575">
        <f t="shared" si="18"/>
        <v>0</v>
      </c>
      <c r="BE78" s="575">
        <f t="shared" si="18"/>
        <v>0</v>
      </c>
      <c r="BF78" s="575">
        <f t="shared" si="18"/>
        <v>0</v>
      </c>
      <c r="BG78" s="575">
        <f t="shared" si="18"/>
        <v>0</v>
      </c>
      <c r="BH78" s="575">
        <f t="shared" si="18"/>
        <v>0</v>
      </c>
      <c r="BI78" s="575">
        <f t="shared" si="18"/>
        <v>0</v>
      </c>
      <c r="BJ78" s="575">
        <f t="shared" si="18"/>
        <v>0</v>
      </c>
      <c r="BK78" s="575">
        <f t="shared" si="18"/>
        <v>0</v>
      </c>
      <c r="BL78" s="575">
        <f t="shared" si="18"/>
        <v>0</v>
      </c>
      <c r="BM78" s="575">
        <f t="shared" si="18"/>
        <v>0</v>
      </c>
      <c r="BN78" s="575">
        <f t="shared" si="18"/>
        <v>0</v>
      </c>
      <c r="BO78" s="575">
        <f t="shared" si="18"/>
        <v>0</v>
      </c>
      <c r="BP78" s="575">
        <f t="shared" si="18"/>
        <v>0</v>
      </c>
      <c r="BQ78" s="575">
        <f t="shared" si="18"/>
        <v>0</v>
      </c>
      <c r="BR78" s="575">
        <f t="shared" ref="BR78:BW78" si="19">SUMIF($A$16:$A$36, "FORA PONTA",BR52:BR72)*252+SUM(BR49:BR72)*(BR73*52+BR74*61)</f>
        <v>0</v>
      </c>
      <c r="BS78" s="575">
        <f t="shared" si="19"/>
        <v>0</v>
      </c>
      <c r="BT78" s="575">
        <f t="shared" si="19"/>
        <v>0</v>
      </c>
      <c r="BU78" s="575">
        <f t="shared" si="19"/>
        <v>0</v>
      </c>
      <c r="BV78" s="575">
        <f t="shared" si="19"/>
        <v>0</v>
      </c>
      <c r="BW78" s="575">
        <f t="shared" si="19"/>
        <v>0</v>
      </c>
    </row>
    <row r="79" spans="1:75" ht="13.5" thickBot="1" x14ac:dyDescent="0.25">
      <c r="D79" s="574" t="s">
        <v>705</v>
      </c>
      <c r="E79" s="576">
        <f>IFERROR(E75/SUM($E$75:$BW$75),0)</f>
        <v>0.39936253670254812</v>
      </c>
      <c r="F79" s="576">
        <f t="shared" ref="F79:BQ79" si="20">IFERROR(F75/SUM($E$75:$BW$75),0)</f>
        <v>9.6856564946101092E-2</v>
      </c>
      <c r="G79" s="576">
        <f t="shared" si="20"/>
        <v>0.50378089835135076</v>
      </c>
      <c r="H79" s="576">
        <f t="shared" si="20"/>
        <v>0</v>
      </c>
      <c r="I79" s="576">
        <f t="shared" si="20"/>
        <v>0</v>
      </c>
      <c r="J79" s="576">
        <f t="shared" si="20"/>
        <v>0</v>
      </c>
      <c r="K79" s="576">
        <f t="shared" si="20"/>
        <v>0</v>
      </c>
      <c r="L79" s="576">
        <f t="shared" si="20"/>
        <v>0</v>
      </c>
      <c r="M79" s="576">
        <f t="shared" si="20"/>
        <v>0</v>
      </c>
      <c r="N79" s="576">
        <f t="shared" si="20"/>
        <v>0</v>
      </c>
      <c r="O79" s="576">
        <f t="shared" si="20"/>
        <v>0</v>
      </c>
      <c r="P79" s="576">
        <f t="shared" si="20"/>
        <v>0</v>
      </c>
      <c r="Q79" s="576">
        <f t="shared" si="20"/>
        <v>0</v>
      </c>
      <c r="R79" s="576">
        <f t="shared" si="20"/>
        <v>0</v>
      </c>
      <c r="S79" s="576">
        <f t="shared" si="20"/>
        <v>0</v>
      </c>
      <c r="T79" s="576">
        <f t="shared" si="20"/>
        <v>0</v>
      </c>
      <c r="U79" s="576">
        <f t="shared" si="20"/>
        <v>0</v>
      </c>
      <c r="V79" s="576">
        <f t="shared" si="20"/>
        <v>0</v>
      </c>
      <c r="W79" s="576">
        <f t="shared" si="20"/>
        <v>0</v>
      </c>
      <c r="X79" s="576">
        <f t="shared" si="20"/>
        <v>0</v>
      </c>
      <c r="Y79" s="576">
        <f t="shared" si="20"/>
        <v>0</v>
      </c>
      <c r="Z79" s="576">
        <f t="shared" si="20"/>
        <v>0</v>
      </c>
      <c r="AA79" s="576">
        <f t="shared" si="20"/>
        <v>0</v>
      </c>
      <c r="AB79" s="576">
        <f t="shared" si="20"/>
        <v>0</v>
      </c>
      <c r="AC79" s="576">
        <f t="shared" si="20"/>
        <v>0</v>
      </c>
      <c r="AD79" s="576">
        <f t="shared" si="20"/>
        <v>0</v>
      </c>
      <c r="AE79" s="576">
        <f t="shared" si="20"/>
        <v>0</v>
      </c>
      <c r="AF79" s="576">
        <f t="shared" si="20"/>
        <v>0</v>
      </c>
      <c r="AG79" s="576">
        <f t="shared" si="20"/>
        <v>0</v>
      </c>
      <c r="AH79" s="576">
        <f t="shared" si="20"/>
        <v>0</v>
      </c>
      <c r="AI79" s="576">
        <f t="shared" si="20"/>
        <v>0</v>
      </c>
      <c r="AJ79" s="576">
        <f t="shared" si="20"/>
        <v>0</v>
      </c>
      <c r="AK79" s="576">
        <f t="shared" si="20"/>
        <v>0</v>
      </c>
      <c r="AL79" s="576">
        <f t="shared" si="20"/>
        <v>0</v>
      </c>
      <c r="AM79" s="576">
        <f t="shared" si="20"/>
        <v>0</v>
      </c>
      <c r="AN79" s="576">
        <f t="shared" si="20"/>
        <v>0</v>
      </c>
      <c r="AO79" s="576">
        <f t="shared" si="20"/>
        <v>0</v>
      </c>
      <c r="AP79" s="576">
        <f t="shared" si="20"/>
        <v>0</v>
      </c>
      <c r="AQ79" s="576">
        <f t="shared" si="20"/>
        <v>0</v>
      </c>
      <c r="AR79" s="576">
        <f t="shared" si="20"/>
        <v>0</v>
      </c>
      <c r="AS79" s="576">
        <f t="shared" si="20"/>
        <v>0</v>
      </c>
      <c r="AT79" s="576">
        <f t="shared" si="20"/>
        <v>0</v>
      </c>
      <c r="AU79" s="576">
        <f t="shared" si="20"/>
        <v>0</v>
      </c>
      <c r="AV79" s="576">
        <f t="shared" si="20"/>
        <v>0</v>
      </c>
      <c r="AW79" s="576">
        <f t="shared" si="20"/>
        <v>0</v>
      </c>
      <c r="AX79" s="576">
        <f t="shared" si="20"/>
        <v>0</v>
      </c>
      <c r="AY79" s="576">
        <f t="shared" si="20"/>
        <v>0</v>
      </c>
      <c r="AZ79" s="576">
        <f t="shared" si="20"/>
        <v>0</v>
      </c>
      <c r="BA79" s="576">
        <f t="shared" si="20"/>
        <v>0</v>
      </c>
      <c r="BB79" s="576">
        <f t="shared" si="20"/>
        <v>0</v>
      </c>
      <c r="BC79" s="576">
        <f t="shared" si="20"/>
        <v>0</v>
      </c>
      <c r="BD79" s="576">
        <f t="shared" si="20"/>
        <v>0</v>
      </c>
      <c r="BE79" s="576">
        <f t="shared" si="20"/>
        <v>0</v>
      </c>
      <c r="BF79" s="576">
        <f t="shared" si="20"/>
        <v>0</v>
      </c>
      <c r="BG79" s="576">
        <f t="shared" si="20"/>
        <v>0</v>
      </c>
      <c r="BH79" s="576">
        <f t="shared" si="20"/>
        <v>0</v>
      </c>
      <c r="BI79" s="576">
        <f t="shared" si="20"/>
        <v>0</v>
      </c>
      <c r="BJ79" s="576">
        <f t="shared" si="20"/>
        <v>0</v>
      </c>
      <c r="BK79" s="576">
        <f t="shared" si="20"/>
        <v>0</v>
      </c>
      <c r="BL79" s="576">
        <f t="shared" si="20"/>
        <v>0</v>
      </c>
      <c r="BM79" s="576">
        <f t="shared" si="20"/>
        <v>0</v>
      </c>
      <c r="BN79" s="576">
        <f t="shared" si="20"/>
        <v>0</v>
      </c>
      <c r="BO79" s="576">
        <f t="shared" si="20"/>
        <v>0</v>
      </c>
      <c r="BP79" s="576">
        <f t="shared" si="20"/>
        <v>0</v>
      </c>
      <c r="BQ79" s="576">
        <f t="shared" si="20"/>
        <v>0</v>
      </c>
      <c r="BR79" s="576">
        <f t="shared" ref="BR79:BW79" si="21">IFERROR(BR75/SUM($E$75:$BW$75),0)</f>
        <v>0</v>
      </c>
      <c r="BS79" s="576">
        <f t="shared" si="21"/>
        <v>0</v>
      </c>
      <c r="BT79" s="576">
        <f t="shared" si="21"/>
        <v>0</v>
      </c>
      <c r="BU79" s="576">
        <f t="shared" si="21"/>
        <v>0</v>
      </c>
      <c r="BV79" s="576">
        <f t="shared" si="21"/>
        <v>0</v>
      </c>
      <c r="BW79" s="576">
        <f t="shared" si="21"/>
        <v>0</v>
      </c>
    </row>
    <row r="80" spans="1:75" ht="13.5" thickBot="1" x14ac:dyDescent="0.25">
      <c r="D80" s="574" t="s">
        <v>706</v>
      </c>
      <c r="E80" s="577">
        <f t="shared" ref="E80:AJ80" si="22">IFERROR(IF(E79&gt;0,((TR_FIOA_BT_MWh+TR_FIOB_BT_MWh+1.06*PMIX_ENERGIA_MWh)*E75-PMIX_ENERGIA_MWh*(1.72*E76+E77+E78))/((TR_FIOA_BT_MWh+TR_FIOB_BT_MWh)*(RPFP_B2*E76+RINTFP_B2*E77+E78)),0),0)</f>
        <v>0.53163014655539531</v>
      </c>
      <c r="F80" s="577">
        <f t="shared" si="22"/>
        <v>0.70665496934413896</v>
      </c>
      <c r="G80" s="577">
        <f t="shared" si="22"/>
        <v>0.5369054636772147</v>
      </c>
      <c r="H80" s="577">
        <f t="shared" si="22"/>
        <v>0</v>
      </c>
      <c r="I80" s="577">
        <f t="shared" si="22"/>
        <v>0</v>
      </c>
      <c r="J80" s="577">
        <f t="shared" si="22"/>
        <v>0</v>
      </c>
      <c r="K80" s="577">
        <f t="shared" si="22"/>
        <v>0</v>
      </c>
      <c r="L80" s="577">
        <f t="shared" si="22"/>
        <v>0</v>
      </c>
      <c r="M80" s="577">
        <f t="shared" si="22"/>
        <v>0</v>
      </c>
      <c r="N80" s="577">
        <f t="shared" si="22"/>
        <v>0</v>
      </c>
      <c r="O80" s="577">
        <f t="shared" si="22"/>
        <v>0</v>
      </c>
      <c r="P80" s="577">
        <f t="shared" si="22"/>
        <v>0</v>
      </c>
      <c r="Q80" s="577">
        <f t="shared" si="22"/>
        <v>0</v>
      </c>
      <c r="R80" s="577">
        <f t="shared" si="22"/>
        <v>0</v>
      </c>
      <c r="S80" s="577">
        <f t="shared" si="22"/>
        <v>0</v>
      </c>
      <c r="T80" s="577">
        <f t="shared" si="22"/>
        <v>0</v>
      </c>
      <c r="U80" s="577">
        <f t="shared" si="22"/>
        <v>0</v>
      </c>
      <c r="V80" s="577">
        <f t="shared" si="22"/>
        <v>0</v>
      </c>
      <c r="W80" s="577">
        <f t="shared" si="22"/>
        <v>0</v>
      </c>
      <c r="X80" s="577">
        <f t="shared" si="22"/>
        <v>0</v>
      </c>
      <c r="Y80" s="577">
        <f t="shared" si="22"/>
        <v>0</v>
      </c>
      <c r="Z80" s="577">
        <f t="shared" si="22"/>
        <v>0</v>
      </c>
      <c r="AA80" s="577">
        <f t="shared" si="22"/>
        <v>0</v>
      </c>
      <c r="AB80" s="577">
        <f t="shared" si="22"/>
        <v>0</v>
      </c>
      <c r="AC80" s="577">
        <f t="shared" si="22"/>
        <v>0</v>
      </c>
      <c r="AD80" s="577">
        <f t="shared" si="22"/>
        <v>0</v>
      </c>
      <c r="AE80" s="577">
        <f t="shared" si="22"/>
        <v>0</v>
      </c>
      <c r="AF80" s="577">
        <f t="shared" si="22"/>
        <v>0</v>
      </c>
      <c r="AG80" s="577">
        <f t="shared" si="22"/>
        <v>0</v>
      </c>
      <c r="AH80" s="577">
        <f t="shared" si="22"/>
        <v>0</v>
      </c>
      <c r="AI80" s="577">
        <f t="shared" si="22"/>
        <v>0</v>
      </c>
      <c r="AJ80" s="577">
        <f t="shared" si="22"/>
        <v>0</v>
      </c>
      <c r="AK80" s="577">
        <f t="shared" ref="AK80:BP80" si="23">IFERROR(IF(AK79&gt;0,((TR_FIOA_BT_MWh+TR_FIOB_BT_MWh+1.06*PMIX_ENERGIA_MWh)*AK75-PMIX_ENERGIA_MWh*(1.72*AK76+AK77+AK78))/((TR_FIOA_BT_MWh+TR_FIOB_BT_MWh)*(RPFP_B2*AK76+RINTFP_B2*AK77+AK78)),0),0)</f>
        <v>0</v>
      </c>
      <c r="AL80" s="577">
        <f t="shared" si="23"/>
        <v>0</v>
      </c>
      <c r="AM80" s="577">
        <f t="shared" si="23"/>
        <v>0</v>
      </c>
      <c r="AN80" s="577">
        <f t="shared" si="23"/>
        <v>0</v>
      </c>
      <c r="AO80" s="577">
        <f t="shared" si="23"/>
        <v>0</v>
      </c>
      <c r="AP80" s="577">
        <f t="shared" si="23"/>
        <v>0</v>
      </c>
      <c r="AQ80" s="577">
        <f t="shared" si="23"/>
        <v>0</v>
      </c>
      <c r="AR80" s="577">
        <f t="shared" si="23"/>
        <v>0</v>
      </c>
      <c r="AS80" s="577">
        <f t="shared" si="23"/>
        <v>0</v>
      </c>
      <c r="AT80" s="577">
        <f t="shared" si="23"/>
        <v>0</v>
      </c>
      <c r="AU80" s="577">
        <f t="shared" si="23"/>
        <v>0</v>
      </c>
      <c r="AV80" s="577">
        <f t="shared" si="23"/>
        <v>0</v>
      </c>
      <c r="AW80" s="577">
        <f t="shared" si="23"/>
        <v>0</v>
      </c>
      <c r="AX80" s="577">
        <f t="shared" si="23"/>
        <v>0</v>
      </c>
      <c r="AY80" s="577">
        <f t="shared" si="23"/>
        <v>0</v>
      </c>
      <c r="AZ80" s="577">
        <f t="shared" si="23"/>
        <v>0</v>
      </c>
      <c r="BA80" s="577">
        <f t="shared" si="23"/>
        <v>0</v>
      </c>
      <c r="BB80" s="577">
        <f t="shared" si="23"/>
        <v>0</v>
      </c>
      <c r="BC80" s="577">
        <f t="shared" si="23"/>
        <v>0</v>
      </c>
      <c r="BD80" s="577">
        <f t="shared" si="23"/>
        <v>0</v>
      </c>
      <c r="BE80" s="577">
        <f t="shared" si="23"/>
        <v>0</v>
      </c>
      <c r="BF80" s="577">
        <f t="shared" si="23"/>
        <v>0</v>
      </c>
      <c r="BG80" s="577">
        <f t="shared" si="23"/>
        <v>0</v>
      </c>
      <c r="BH80" s="577">
        <f t="shared" si="23"/>
        <v>0</v>
      </c>
      <c r="BI80" s="577">
        <f t="shared" si="23"/>
        <v>0</v>
      </c>
      <c r="BJ80" s="577">
        <f t="shared" si="23"/>
        <v>0</v>
      </c>
      <c r="BK80" s="577">
        <f t="shared" si="23"/>
        <v>0</v>
      </c>
      <c r="BL80" s="577">
        <f t="shared" si="23"/>
        <v>0</v>
      </c>
      <c r="BM80" s="577">
        <f t="shared" si="23"/>
        <v>0</v>
      </c>
      <c r="BN80" s="577">
        <f t="shared" si="23"/>
        <v>0</v>
      </c>
      <c r="BO80" s="577">
        <f t="shared" si="23"/>
        <v>0</v>
      </c>
      <c r="BP80" s="577">
        <f t="shared" si="23"/>
        <v>0</v>
      </c>
      <c r="BQ80" s="577">
        <f t="shared" ref="BQ80:BW80" si="24">IFERROR(IF(BQ79&gt;0,((TR_FIOA_BT_MWh+TR_FIOB_BT_MWh+1.06*PMIX_ENERGIA_MWh)*BQ75-PMIX_ENERGIA_MWh*(1.72*BQ76+BQ77+BQ78))/((TR_FIOA_BT_MWh+TR_FIOB_BT_MWh)*(RPFP_B2*BQ76+RINTFP_B2*BQ77+BQ78)),0),0)</f>
        <v>0</v>
      </c>
      <c r="BR80" s="577">
        <f t="shared" si="24"/>
        <v>0</v>
      </c>
      <c r="BS80" s="577">
        <f t="shared" si="24"/>
        <v>0</v>
      </c>
      <c r="BT80" s="577">
        <f t="shared" si="24"/>
        <v>0</v>
      </c>
      <c r="BU80" s="577">
        <f t="shared" si="24"/>
        <v>0</v>
      </c>
      <c r="BV80" s="577">
        <f t="shared" si="24"/>
        <v>0</v>
      </c>
      <c r="BW80" s="577">
        <f t="shared" si="24"/>
        <v>0</v>
      </c>
    </row>
    <row r="82" spans="1:79" ht="19.5" thickBot="1" x14ac:dyDescent="0.35">
      <c r="A82" s="690" t="s">
        <v>3587</v>
      </c>
      <c r="C82" s="846" t="s">
        <v>346</v>
      </c>
      <c r="D82" s="847"/>
      <c r="E82" s="564" t="s">
        <v>698</v>
      </c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65"/>
      <c r="AB82" s="565"/>
      <c r="AC82" s="565"/>
      <c r="AD82" s="565" t="s">
        <v>718</v>
      </c>
      <c r="AE82" s="565"/>
      <c r="AF82" s="565"/>
      <c r="AG82" s="565"/>
      <c r="AH82" s="565"/>
      <c r="AI82" s="565"/>
      <c r="AJ82" s="565"/>
      <c r="AK82" s="565"/>
      <c r="AL82" s="565"/>
      <c r="AM82" s="565"/>
      <c r="AN82" s="565"/>
      <c r="AO82" s="565"/>
      <c r="AP82" s="565"/>
      <c r="AQ82" s="565"/>
      <c r="AR82" s="565"/>
      <c r="AS82" s="565"/>
      <c r="AT82" s="565"/>
      <c r="AU82" s="565"/>
      <c r="AV82" s="565"/>
      <c r="AW82" s="565"/>
      <c r="AX82" s="565"/>
      <c r="AY82" s="565"/>
      <c r="AZ82" s="565"/>
      <c r="BA82" s="565"/>
      <c r="BB82" s="565"/>
      <c r="BC82" s="565" t="s">
        <v>719</v>
      </c>
      <c r="BD82" s="565"/>
      <c r="BE82" s="565"/>
      <c r="BF82" s="565"/>
      <c r="BG82" s="565"/>
      <c r="BH82" s="565"/>
      <c r="BI82" s="565"/>
      <c r="BJ82" s="565"/>
      <c r="BK82" s="565"/>
      <c r="BL82" s="565"/>
      <c r="BM82" s="565"/>
      <c r="BN82" s="565"/>
      <c r="BO82" s="565"/>
      <c r="BP82" s="565"/>
      <c r="BQ82" s="565"/>
      <c r="BR82" s="565"/>
      <c r="BS82" s="565"/>
      <c r="BT82" s="565"/>
      <c r="BU82" s="565"/>
      <c r="BV82" s="565"/>
      <c r="BW82" s="565"/>
      <c r="BX82" s="565"/>
      <c r="BY82" s="565"/>
      <c r="BZ82" s="565"/>
      <c r="CA82" s="565"/>
    </row>
    <row r="83" spans="1:79" s="136" customFormat="1" ht="19.5" thickBot="1" x14ac:dyDescent="0.35">
      <c r="A83" s="690" t="s">
        <v>637</v>
      </c>
      <c r="C83" s="566" t="s">
        <v>699</v>
      </c>
      <c r="D83" s="567" t="s">
        <v>700</v>
      </c>
      <c r="E83" s="568">
        <f>'CT (CTR)'!G106</f>
        <v>0</v>
      </c>
      <c r="F83" s="568">
        <f>'CT (CTR)'!H106</f>
        <v>0</v>
      </c>
      <c r="G83" s="568">
        <f>'CT (CTR)'!I106</f>
        <v>0</v>
      </c>
      <c r="H83" s="568">
        <f>'CT (CTR)'!J106</f>
        <v>0</v>
      </c>
      <c r="I83" s="568">
        <f>'CT (CTR)'!K106</f>
        <v>0</v>
      </c>
      <c r="J83" s="568">
        <f>'CT (CTR)'!L106</f>
        <v>0</v>
      </c>
      <c r="K83" s="568">
        <f>'CT (CTR)'!M106</f>
        <v>0</v>
      </c>
      <c r="L83" s="568">
        <f>'CT (CTR)'!N106</f>
        <v>0</v>
      </c>
      <c r="M83" s="568">
        <f>'CT (CTR)'!O106</f>
        <v>0</v>
      </c>
      <c r="N83" s="568">
        <f>'CT (CTR)'!P106</f>
        <v>0</v>
      </c>
      <c r="O83" s="568">
        <f>'CT (CTR)'!Q106</f>
        <v>0</v>
      </c>
      <c r="P83" s="568">
        <f>'CT (CTR)'!R106</f>
        <v>0</v>
      </c>
      <c r="Q83" s="568">
        <f>'CT (CTR)'!S106</f>
        <v>0</v>
      </c>
      <c r="R83" s="568">
        <f>'CT (CTR)'!T106</f>
        <v>0</v>
      </c>
      <c r="S83" s="568">
        <f>'CT (CTR)'!U106</f>
        <v>0</v>
      </c>
      <c r="T83" s="568">
        <f>'CT (CTR)'!V106</f>
        <v>0</v>
      </c>
      <c r="U83" s="568">
        <f>'CT (CTR)'!W106</f>
        <v>0</v>
      </c>
      <c r="V83" s="568">
        <f>'CT (CTR)'!X106</f>
        <v>0</v>
      </c>
      <c r="W83" s="568">
        <f>'CT (CTR)'!Y106</f>
        <v>0</v>
      </c>
      <c r="X83" s="568">
        <f>'CT (CTR)'!Z106</f>
        <v>0</v>
      </c>
      <c r="Y83" s="568">
        <f>'CT (CTR)'!AA106</f>
        <v>0</v>
      </c>
      <c r="Z83" s="568">
        <f>'CT (CTR)'!AB106</f>
        <v>0</v>
      </c>
      <c r="AA83" s="568">
        <f>'CT (CTR)'!AC106</f>
        <v>0</v>
      </c>
      <c r="AB83" s="568">
        <f>'CT (CTR)'!AD106</f>
        <v>0</v>
      </c>
      <c r="AC83" s="568">
        <f>'CT (CTR)'!AE106</f>
        <v>0</v>
      </c>
      <c r="AD83" s="579">
        <f>'CT (CTR)'!G72</f>
        <v>0</v>
      </c>
      <c r="AE83" s="579">
        <f>'CT (CTR)'!H72</f>
        <v>0</v>
      </c>
      <c r="AF83" s="579">
        <f>'CT (CTR)'!I72</f>
        <v>0</v>
      </c>
      <c r="AG83" s="579">
        <f>'CT (CTR)'!J72</f>
        <v>0</v>
      </c>
      <c r="AH83" s="579">
        <f>'CT (CTR)'!K72</f>
        <v>0</v>
      </c>
      <c r="AI83" s="579">
        <f>'CT (CTR)'!L72</f>
        <v>0</v>
      </c>
      <c r="AJ83" s="579">
        <f>'CT (CTR)'!M72</f>
        <v>0</v>
      </c>
      <c r="AK83" s="579">
        <f>'CT (CTR)'!N72</f>
        <v>0</v>
      </c>
      <c r="AL83" s="579">
        <f>'CT (CTR)'!O72</f>
        <v>0</v>
      </c>
      <c r="AM83" s="579">
        <f>'CT (CTR)'!P72</f>
        <v>0</v>
      </c>
      <c r="AN83" s="579">
        <f>'CT (CTR)'!Q72</f>
        <v>0</v>
      </c>
      <c r="AO83" s="579">
        <f>'CT (CTR)'!R72</f>
        <v>0</v>
      </c>
      <c r="AP83" s="579">
        <f>'CT (CTR)'!S72</f>
        <v>0</v>
      </c>
      <c r="AQ83" s="579">
        <f>'CT (CTR)'!T72</f>
        <v>0</v>
      </c>
      <c r="AR83" s="579">
        <f>'CT (CTR)'!U72</f>
        <v>0</v>
      </c>
      <c r="AS83" s="579">
        <f>'CT (CTR)'!V72</f>
        <v>0</v>
      </c>
      <c r="AT83" s="579">
        <f>'CT (CTR)'!W72</f>
        <v>0</v>
      </c>
      <c r="AU83" s="579">
        <f>'CT (CTR)'!X72</f>
        <v>0</v>
      </c>
      <c r="AV83" s="579">
        <f>'CT (CTR)'!Y72</f>
        <v>0</v>
      </c>
      <c r="AW83" s="579">
        <f>'CT (CTR)'!Z72</f>
        <v>0</v>
      </c>
      <c r="AX83" s="579">
        <f>'CT (CTR)'!AA72</f>
        <v>0</v>
      </c>
      <c r="AY83" s="579">
        <f>'CT (CTR)'!AB72</f>
        <v>0</v>
      </c>
      <c r="AZ83" s="579">
        <f>'CT (CTR)'!AC72</f>
        <v>0</v>
      </c>
      <c r="BA83" s="579">
        <f>'CT (CTR)'!AD72</f>
        <v>0</v>
      </c>
      <c r="BB83" s="579">
        <f>'CT (CTR)'!AE72</f>
        <v>0</v>
      </c>
      <c r="BC83" s="579" t="str">
        <f>'CT (CTR)'!G38</f>
        <v>CT-002</v>
      </c>
      <c r="BD83" s="579" t="str">
        <f>'CT (CTR)'!H38</f>
        <v>CT-003</v>
      </c>
      <c r="BE83" s="579" t="str">
        <f>'CT (CTR)'!I38</f>
        <v>CT-004</v>
      </c>
      <c r="BF83" s="579" t="str">
        <f>'CT (CTR)'!J38</f>
        <v>CT-005</v>
      </c>
      <c r="BG83" s="579" t="str">
        <f>'CT (CTR)'!K38</f>
        <v>CT-006</v>
      </c>
      <c r="BH83" s="579" t="str">
        <f>'CT (CTR)'!L38</f>
        <v>CT-007</v>
      </c>
      <c r="BI83" s="579" t="str">
        <f>'CT (CTR)'!M38</f>
        <v>CT-008</v>
      </c>
      <c r="BJ83" s="579" t="str">
        <f>'CT (CTR)'!N38</f>
        <v>CT-009</v>
      </c>
      <c r="BK83" s="579" t="str">
        <f>'CT (CTR)'!O38</f>
        <v>CT-010</v>
      </c>
      <c r="BL83" s="579" t="str">
        <f>'CT (CTR)'!P38</f>
        <v>CT-011</v>
      </c>
      <c r="BM83" s="579" t="str">
        <f>'CT (CTR)'!Q38</f>
        <v>CT-012</v>
      </c>
      <c r="BN83" s="579" t="str">
        <f>'CT (CTR)'!R38</f>
        <v>CT-013</v>
      </c>
      <c r="BO83" s="579" t="str">
        <f>'CT (CTR)'!S38</f>
        <v>CT-014</v>
      </c>
      <c r="BP83" s="579" t="str">
        <f>'CT (CTR)'!T38</f>
        <v>CT-015</v>
      </c>
      <c r="BQ83" s="579">
        <f>'CT (CTR)'!U38</f>
        <v>0</v>
      </c>
      <c r="BR83" s="579">
        <f>'CT (CTR)'!V38</f>
        <v>0</v>
      </c>
      <c r="BS83" s="579">
        <f>'CT (CTR)'!W38</f>
        <v>0</v>
      </c>
      <c r="BT83" s="579">
        <f>'CT (CTR)'!X38</f>
        <v>0</v>
      </c>
      <c r="BU83" s="579">
        <f>'CT (CTR)'!Y38</f>
        <v>0</v>
      </c>
      <c r="BV83" s="579">
        <f>'CT (CTR)'!Z38</f>
        <v>0</v>
      </c>
      <c r="BW83" s="579">
        <f>'CT (CTR)'!AA38</f>
        <v>0</v>
      </c>
      <c r="BX83" s="579">
        <f>'CT (CTR)'!AB38</f>
        <v>0</v>
      </c>
      <c r="BY83" s="579">
        <f>'CT (CTR)'!AC38</f>
        <v>0</v>
      </c>
      <c r="BZ83" s="579">
        <f>'CT (CTR)'!AD38</f>
        <v>0</v>
      </c>
      <c r="CA83" s="579">
        <f>'CT (CTR)'!AE38</f>
        <v>0</v>
      </c>
    </row>
    <row r="84" spans="1:79" x14ac:dyDescent="0.2">
      <c r="A84" s="683" t="s">
        <v>549</v>
      </c>
      <c r="B84" s="571">
        <f>B13</f>
        <v>0.75</v>
      </c>
      <c r="C84" s="566" t="s">
        <v>356</v>
      </c>
      <c r="D84" s="569">
        <v>1</v>
      </c>
      <c r="E84" s="570">
        <f>'CT (CTR)'!G108</f>
        <v>0</v>
      </c>
      <c r="F84" s="570">
        <f>'CT (CTR)'!H108</f>
        <v>0</v>
      </c>
      <c r="G84" s="570">
        <f>'CT (CTR)'!I108</f>
        <v>0</v>
      </c>
      <c r="H84" s="570">
        <f>'CT (CTR)'!J108</f>
        <v>0</v>
      </c>
      <c r="I84" s="570">
        <f>'CT (CTR)'!K108</f>
        <v>0</v>
      </c>
      <c r="J84" s="570">
        <f>'CT (CTR)'!L108</f>
        <v>0</v>
      </c>
      <c r="K84" s="570">
        <f>'CT (CTR)'!M108</f>
        <v>0</v>
      </c>
      <c r="L84" s="570">
        <f>'CT (CTR)'!N108</f>
        <v>0</v>
      </c>
      <c r="M84" s="570">
        <f>'CT (CTR)'!O108</f>
        <v>0</v>
      </c>
      <c r="N84" s="570">
        <f>'CT (CTR)'!P108</f>
        <v>0</v>
      </c>
      <c r="O84" s="570">
        <f>'CT (CTR)'!Q108</f>
        <v>0</v>
      </c>
      <c r="P84" s="570">
        <f>'CT (CTR)'!R108</f>
        <v>0</v>
      </c>
      <c r="Q84" s="570">
        <f>'CT (CTR)'!S108</f>
        <v>0</v>
      </c>
      <c r="R84" s="570">
        <f>'CT (CTR)'!T108</f>
        <v>0</v>
      </c>
      <c r="S84" s="570">
        <f>'CT (CTR)'!U108</f>
        <v>0</v>
      </c>
      <c r="T84" s="570">
        <f>'CT (CTR)'!V108</f>
        <v>0</v>
      </c>
      <c r="U84" s="570">
        <f>'CT (CTR)'!W108</f>
        <v>0</v>
      </c>
      <c r="V84" s="570">
        <f>'CT (CTR)'!X108</f>
        <v>0</v>
      </c>
      <c r="W84" s="570">
        <f>'CT (CTR)'!Y108</f>
        <v>0</v>
      </c>
      <c r="X84" s="570">
        <f>'CT (CTR)'!Z108</f>
        <v>0</v>
      </c>
      <c r="Y84" s="570">
        <f>'CT (CTR)'!AA108</f>
        <v>0</v>
      </c>
      <c r="Z84" s="570">
        <f>'CT (CTR)'!AB108</f>
        <v>0</v>
      </c>
      <c r="AA84" s="570">
        <f>'CT (CTR)'!AC108</f>
        <v>0</v>
      </c>
      <c r="AB84" s="570">
        <f>'CT (CTR)'!AD108</f>
        <v>0</v>
      </c>
      <c r="AC84" s="570">
        <f>'CT (CTR)'!AE108</f>
        <v>0</v>
      </c>
      <c r="AD84" s="570">
        <f>'CT (CTR)'!G74</f>
        <v>0</v>
      </c>
      <c r="AE84" s="570">
        <f>'CT (CTR)'!H74</f>
        <v>0</v>
      </c>
      <c r="AF84" s="570">
        <f>'CT (CTR)'!I74</f>
        <v>0</v>
      </c>
      <c r="AG84" s="570">
        <f>'CT (CTR)'!J74</f>
        <v>0</v>
      </c>
      <c r="AH84" s="570">
        <f>'CT (CTR)'!K74</f>
        <v>0</v>
      </c>
      <c r="AI84" s="570">
        <f>'CT (CTR)'!L74</f>
        <v>0</v>
      </c>
      <c r="AJ84" s="570">
        <f>'CT (CTR)'!M74</f>
        <v>0</v>
      </c>
      <c r="AK84" s="570">
        <f>'CT (CTR)'!N74</f>
        <v>0</v>
      </c>
      <c r="AL84" s="570">
        <f>'CT (CTR)'!O74</f>
        <v>0</v>
      </c>
      <c r="AM84" s="570">
        <f>'CT (CTR)'!P74</f>
        <v>0</v>
      </c>
      <c r="AN84" s="570">
        <f>'CT (CTR)'!Q74</f>
        <v>0</v>
      </c>
      <c r="AO84" s="570">
        <f>'CT (CTR)'!R74</f>
        <v>0</v>
      </c>
      <c r="AP84" s="570">
        <f>'CT (CTR)'!S74</f>
        <v>0</v>
      </c>
      <c r="AQ84" s="570">
        <f>'CT (CTR)'!T74</f>
        <v>0</v>
      </c>
      <c r="AR84" s="570">
        <f>'CT (CTR)'!U74</f>
        <v>0</v>
      </c>
      <c r="AS84" s="570">
        <f>'CT (CTR)'!V74</f>
        <v>0</v>
      </c>
      <c r="AT84" s="570">
        <f>'CT (CTR)'!W74</f>
        <v>0</v>
      </c>
      <c r="AU84" s="570">
        <f>'CT (CTR)'!X74</f>
        <v>0</v>
      </c>
      <c r="AV84" s="570">
        <f>'CT (CTR)'!Y74</f>
        <v>0</v>
      </c>
      <c r="AW84" s="570">
        <f>'CT (CTR)'!Z74</f>
        <v>0</v>
      </c>
      <c r="AX84" s="570">
        <f>'CT (CTR)'!AA74</f>
        <v>0</v>
      </c>
      <c r="AY84" s="570">
        <f>'CT (CTR)'!AB74</f>
        <v>0</v>
      </c>
      <c r="AZ84" s="570">
        <f>'CT (CTR)'!AC74</f>
        <v>0</v>
      </c>
      <c r="BA84" s="570">
        <f>'CT (CTR)'!AD74</f>
        <v>0</v>
      </c>
      <c r="BB84" s="570">
        <f>'CT (CTR)'!AE74</f>
        <v>0</v>
      </c>
      <c r="BC84" s="570">
        <f>'CT (CTR)'!G40</f>
        <v>0.65276524130171798</v>
      </c>
      <c r="BD84" s="570">
        <f>'CT (CTR)'!H40</f>
        <v>0.47124618063616303</v>
      </c>
      <c r="BE84" s="570">
        <f>'CT (CTR)'!I40</f>
        <v>7.4826474256843203E-2</v>
      </c>
      <c r="BF84" s="570">
        <f>'CT (CTR)'!J40</f>
        <v>0.30404998609417899</v>
      </c>
      <c r="BG84" s="570">
        <f>'CT (CTR)'!K40</f>
        <v>0.45935301290618102</v>
      </c>
      <c r="BH84" s="570">
        <f>'CT (CTR)'!L40</f>
        <v>0.28817870201130302</v>
      </c>
      <c r="BI84" s="570">
        <f>'CT (CTR)'!M40</f>
        <v>0.15963530259175901</v>
      </c>
      <c r="BJ84" s="570">
        <f>'CT (CTR)'!N40</f>
        <v>0.46604086068785999</v>
      </c>
      <c r="BK84" s="570">
        <f>'CT (CTR)'!O40</f>
        <v>0.209802397220095</v>
      </c>
      <c r="BL84" s="570">
        <f>'CT (CTR)'!P40</f>
        <v>1.4413465046722701E-2</v>
      </c>
      <c r="BM84" s="570">
        <f>'CT (CTR)'!Q40</f>
        <v>6.2348531659251701E-2</v>
      </c>
      <c r="BN84" s="570">
        <f>'CT (CTR)'!R40</f>
        <v>4.8000956738457001E-2</v>
      </c>
      <c r="BO84" s="570">
        <f>'CT (CTR)'!S40</f>
        <v>0.13091544395294699</v>
      </c>
      <c r="BP84" s="570">
        <f>'CT (CTR)'!T40</f>
        <v>2.7476182511923901E-2</v>
      </c>
      <c r="BQ84" s="570">
        <f>'CT (CTR)'!U40</f>
        <v>0</v>
      </c>
      <c r="BR84" s="570">
        <f>'CT (CTR)'!V40</f>
        <v>0</v>
      </c>
      <c r="BS84" s="570">
        <f>'CT (CTR)'!W40</f>
        <v>0</v>
      </c>
      <c r="BT84" s="570">
        <f>'CT (CTR)'!X40</f>
        <v>0</v>
      </c>
      <c r="BU84" s="570">
        <f>'CT (CTR)'!Y40</f>
        <v>0</v>
      </c>
      <c r="BV84" s="570">
        <f>'CT (CTR)'!Z40</f>
        <v>0</v>
      </c>
      <c r="BW84" s="570">
        <f>'CT (CTR)'!AA40</f>
        <v>0</v>
      </c>
      <c r="BX84" s="570">
        <f>'CT (CTR)'!AB40</f>
        <v>0</v>
      </c>
      <c r="BY84" s="570">
        <f>'CT (CTR)'!AC40</f>
        <v>0</v>
      </c>
      <c r="BZ84" s="570">
        <f>'CT (CTR)'!AD40</f>
        <v>0</v>
      </c>
      <c r="CA84" s="570">
        <f>'CT (CTR)'!AE40</f>
        <v>0</v>
      </c>
    </row>
    <row r="85" spans="1:79" x14ac:dyDescent="0.2">
      <c r="A85" s="684" t="s">
        <v>549</v>
      </c>
      <c r="B85" s="571">
        <f>B84+$D$3</f>
        <v>0.79166666666666663</v>
      </c>
      <c r="C85" s="566" t="s">
        <v>356</v>
      </c>
      <c r="D85" s="569">
        <v>2</v>
      </c>
      <c r="E85" s="570">
        <f>'CT (CTR)'!G109</f>
        <v>0</v>
      </c>
      <c r="F85" s="570">
        <f>'CT (CTR)'!H109</f>
        <v>0</v>
      </c>
      <c r="G85" s="570">
        <f>'CT (CTR)'!I109</f>
        <v>0</v>
      </c>
      <c r="H85" s="570">
        <f>'CT (CTR)'!J109</f>
        <v>0</v>
      </c>
      <c r="I85" s="570">
        <f>'CT (CTR)'!K109</f>
        <v>0</v>
      </c>
      <c r="J85" s="570">
        <f>'CT (CTR)'!L109</f>
        <v>0</v>
      </c>
      <c r="K85" s="570">
        <f>'CT (CTR)'!M109</f>
        <v>0</v>
      </c>
      <c r="L85" s="570">
        <f>'CT (CTR)'!N109</f>
        <v>0</v>
      </c>
      <c r="M85" s="570">
        <f>'CT (CTR)'!O109</f>
        <v>0</v>
      </c>
      <c r="N85" s="570">
        <f>'CT (CTR)'!P109</f>
        <v>0</v>
      </c>
      <c r="O85" s="570">
        <f>'CT (CTR)'!Q109</f>
        <v>0</v>
      </c>
      <c r="P85" s="570">
        <f>'CT (CTR)'!R109</f>
        <v>0</v>
      </c>
      <c r="Q85" s="570">
        <f>'CT (CTR)'!S109</f>
        <v>0</v>
      </c>
      <c r="R85" s="570">
        <f>'CT (CTR)'!T109</f>
        <v>0</v>
      </c>
      <c r="S85" s="570">
        <f>'CT (CTR)'!U109</f>
        <v>0</v>
      </c>
      <c r="T85" s="570">
        <f>'CT (CTR)'!V109</f>
        <v>0</v>
      </c>
      <c r="U85" s="570">
        <f>'CT (CTR)'!W109</f>
        <v>0</v>
      </c>
      <c r="V85" s="570">
        <f>'CT (CTR)'!X109</f>
        <v>0</v>
      </c>
      <c r="W85" s="570">
        <f>'CT (CTR)'!Y109</f>
        <v>0</v>
      </c>
      <c r="X85" s="570">
        <f>'CT (CTR)'!Z109</f>
        <v>0</v>
      </c>
      <c r="Y85" s="570">
        <f>'CT (CTR)'!AA109</f>
        <v>0</v>
      </c>
      <c r="Z85" s="570">
        <f>'CT (CTR)'!AB109</f>
        <v>0</v>
      </c>
      <c r="AA85" s="570">
        <f>'CT (CTR)'!AC109</f>
        <v>0</v>
      </c>
      <c r="AB85" s="570">
        <f>'CT (CTR)'!AD109</f>
        <v>0</v>
      </c>
      <c r="AC85" s="570">
        <f>'CT (CTR)'!AE109</f>
        <v>0</v>
      </c>
      <c r="AD85" s="570">
        <f>'CT (CTR)'!G75</f>
        <v>0</v>
      </c>
      <c r="AE85" s="570">
        <f>'CT (CTR)'!H75</f>
        <v>0</v>
      </c>
      <c r="AF85" s="570">
        <f>'CT (CTR)'!I75</f>
        <v>0</v>
      </c>
      <c r="AG85" s="570">
        <f>'CT (CTR)'!J75</f>
        <v>0</v>
      </c>
      <c r="AH85" s="570">
        <f>'CT (CTR)'!K75</f>
        <v>0</v>
      </c>
      <c r="AI85" s="570">
        <f>'CT (CTR)'!L75</f>
        <v>0</v>
      </c>
      <c r="AJ85" s="570">
        <f>'CT (CTR)'!M75</f>
        <v>0</v>
      </c>
      <c r="AK85" s="570">
        <f>'CT (CTR)'!N75</f>
        <v>0</v>
      </c>
      <c r="AL85" s="570">
        <f>'CT (CTR)'!O75</f>
        <v>0</v>
      </c>
      <c r="AM85" s="570">
        <f>'CT (CTR)'!P75</f>
        <v>0</v>
      </c>
      <c r="AN85" s="570">
        <f>'CT (CTR)'!Q75</f>
        <v>0</v>
      </c>
      <c r="AO85" s="570">
        <f>'CT (CTR)'!R75</f>
        <v>0</v>
      </c>
      <c r="AP85" s="570">
        <f>'CT (CTR)'!S75</f>
        <v>0</v>
      </c>
      <c r="AQ85" s="570">
        <f>'CT (CTR)'!T75</f>
        <v>0</v>
      </c>
      <c r="AR85" s="570">
        <f>'CT (CTR)'!U75</f>
        <v>0</v>
      </c>
      <c r="AS85" s="570">
        <f>'CT (CTR)'!V75</f>
        <v>0</v>
      </c>
      <c r="AT85" s="570">
        <f>'CT (CTR)'!W75</f>
        <v>0</v>
      </c>
      <c r="AU85" s="570">
        <f>'CT (CTR)'!X75</f>
        <v>0</v>
      </c>
      <c r="AV85" s="570">
        <f>'CT (CTR)'!Y75</f>
        <v>0</v>
      </c>
      <c r="AW85" s="570">
        <f>'CT (CTR)'!Z75</f>
        <v>0</v>
      </c>
      <c r="AX85" s="570">
        <f>'CT (CTR)'!AA75</f>
        <v>0</v>
      </c>
      <c r="AY85" s="570">
        <f>'CT (CTR)'!AB75</f>
        <v>0</v>
      </c>
      <c r="AZ85" s="570">
        <f>'CT (CTR)'!AC75</f>
        <v>0</v>
      </c>
      <c r="BA85" s="570">
        <f>'CT (CTR)'!AD75</f>
        <v>0</v>
      </c>
      <c r="BB85" s="570">
        <f>'CT (CTR)'!AE75</f>
        <v>0</v>
      </c>
      <c r="BC85" s="570">
        <f>'CT (CTR)'!G41</f>
        <v>0.420164860510577</v>
      </c>
      <c r="BD85" s="570">
        <f>'CT (CTR)'!H41</f>
        <v>0.37906589446306599</v>
      </c>
      <c r="BE85" s="570">
        <f>'CT (CTR)'!I41</f>
        <v>7.1803764729901895E-2</v>
      </c>
      <c r="BF85" s="570">
        <f>'CT (CTR)'!J41</f>
        <v>0.15245327886562099</v>
      </c>
      <c r="BG85" s="570">
        <f>'CT (CTR)'!K41</f>
        <v>0.43584671048141199</v>
      </c>
      <c r="BH85" s="570">
        <f>'CT (CTR)'!L41</f>
        <v>0.28079077164164001</v>
      </c>
      <c r="BI85" s="570">
        <f>'CT (CTR)'!M41</f>
        <v>0.15322748784527301</v>
      </c>
      <c r="BJ85" s="570">
        <f>'CT (CTR)'!N41</f>
        <v>0.45112498343093799</v>
      </c>
      <c r="BK85" s="570">
        <f>'CT (CTR)'!O41</f>
        <v>0.23535129354862899</v>
      </c>
      <c r="BL85" s="570">
        <f>'CT (CTR)'!P41</f>
        <v>9.1406077193444693E-2</v>
      </c>
      <c r="BM85" s="570">
        <f>'CT (CTR)'!Q41</f>
        <v>4.54641868902338E-2</v>
      </c>
      <c r="BN85" s="570">
        <f>'CT (CTR)'!R41</f>
        <v>9.3135692999051403E-2</v>
      </c>
      <c r="BO85" s="570">
        <f>'CT (CTR)'!S41</f>
        <v>0.130833081295537</v>
      </c>
      <c r="BP85" s="570">
        <f>'CT (CTR)'!T41</f>
        <v>2.5590077657238499E-2</v>
      </c>
      <c r="BQ85" s="570">
        <f>'CT (CTR)'!U41</f>
        <v>0</v>
      </c>
      <c r="BR85" s="570">
        <f>'CT (CTR)'!V41</f>
        <v>0</v>
      </c>
      <c r="BS85" s="570">
        <f>'CT (CTR)'!W41</f>
        <v>0</v>
      </c>
      <c r="BT85" s="570">
        <f>'CT (CTR)'!X41</f>
        <v>0</v>
      </c>
      <c r="BU85" s="570">
        <f>'CT (CTR)'!Y41</f>
        <v>0</v>
      </c>
      <c r="BV85" s="570">
        <f>'CT (CTR)'!Z41</f>
        <v>0</v>
      </c>
      <c r="BW85" s="570">
        <f>'CT (CTR)'!AA41</f>
        <v>0</v>
      </c>
      <c r="BX85" s="570">
        <f>'CT (CTR)'!AB41</f>
        <v>0</v>
      </c>
      <c r="BY85" s="570">
        <f>'CT (CTR)'!AC41</f>
        <v>0</v>
      </c>
      <c r="BZ85" s="570">
        <f>'CT (CTR)'!AD41</f>
        <v>0</v>
      </c>
      <c r="CA85" s="570">
        <f>'CT (CTR)'!AE41</f>
        <v>0</v>
      </c>
    </row>
    <row r="86" spans="1:79" x14ac:dyDescent="0.2">
      <c r="A86" s="684" t="s">
        <v>549</v>
      </c>
      <c r="B86" s="571">
        <f t="shared" ref="B86:B107" si="25">B85+$D$3</f>
        <v>0.83333333333333326</v>
      </c>
      <c r="C86" s="566" t="s">
        <v>356</v>
      </c>
      <c r="D86" s="569">
        <v>3</v>
      </c>
      <c r="E86" s="570">
        <f>'CT (CTR)'!G110</f>
        <v>0</v>
      </c>
      <c r="F86" s="570">
        <f>'CT (CTR)'!H110</f>
        <v>0</v>
      </c>
      <c r="G86" s="570">
        <f>'CT (CTR)'!I110</f>
        <v>0</v>
      </c>
      <c r="H86" s="570">
        <f>'CT (CTR)'!J110</f>
        <v>0</v>
      </c>
      <c r="I86" s="570">
        <f>'CT (CTR)'!K110</f>
        <v>0</v>
      </c>
      <c r="J86" s="570">
        <f>'CT (CTR)'!L110</f>
        <v>0</v>
      </c>
      <c r="K86" s="570">
        <f>'CT (CTR)'!M110</f>
        <v>0</v>
      </c>
      <c r="L86" s="570">
        <f>'CT (CTR)'!N110</f>
        <v>0</v>
      </c>
      <c r="M86" s="570">
        <f>'CT (CTR)'!O110</f>
        <v>0</v>
      </c>
      <c r="N86" s="570">
        <f>'CT (CTR)'!P110</f>
        <v>0</v>
      </c>
      <c r="O86" s="570">
        <f>'CT (CTR)'!Q110</f>
        <v>0</v>
      </c>
      <c r="P86" s="570">
        <f>'CT (CTR)'!R110</f>
        <v>0</v>
      </c>
      <c r="Q86" s="570">
        <f>'CT (CTR)'!S110</f>
        <v>0</v>
      </c>
      <c r="R86" s="570">
        <f>'CT (CTR)'!T110</f>
        <v>0</v>
      </c>
      <c r="S86" s="570">
        <f>'CT (CTR)'!U110</f>
        <v>0</v>
      </c>
      <c r="T86" s="570">
        <f>'CT (CTR)'!V110</f>
        <v>0</v>
      </c>
      <c r="U86" s="570">
        <f>'CT (CTR)'!W110</f>
        <v>0</v>
      </c>
      <c r="V86" s="570">
        <f>'CT (CTR)'!X110</f>
        <v>0</v>
      </c>
      <c r="W86" s="570">
        <f>'CT (CTR)'!Y110</f>
        <v>0</v>
      </c>
      <c r="X86" s="570">
        <f>'CT (CTR)'!Z110</f>
        <v>0</v>
      </c>
      <c r="Y86" s="570">
        <f>'CT (CTR)'!AA110</f>
        <v>0</v>
      </c>
      <c r="Z86" s="570">
        <f>'CT (CTR)'!AB110</f>
        <v>0</v>
      </c>
      <c r="AA86" s="570">
        <f>'CT (CTR)'!AC110</f>
        <v>0</v>
      </c>
      <c r="AB86" s="570">
        <f>'CT (CTR)'!AD110</f>
        <v>0</v>
      </c>
      <c r="AC86" s="570">
        <f>'CT (CTR)'!AE110</f>
        <v>0</v>
      </c>
      <c r="AD86" s="570">
        <f>'CT (CTR)'!G76</f>
        <v>0</v>
      </c>
      <c r="AE86" s="570">
        <f>'CT (CTR)'!H76</f>
        <v>0</v>
      </c>
      <c r="AF86" s="570">
        <f>'CT (CTR)'!I76</f>
        <v>0</v>
      </c>
      <c r="AG86" s="570">
        <f>'CT (CTR)'!J76</f>
        <v>0</v>
      </c>
      <c r="AH86" s="570">
        <f>'CT (CTR)'!K76</f>
        <v>0</v>
      </c>
      <c r="AI86" s="570">
        <f>'CT (CTR)'!L76</f>
        <v>0</v>
      </c>
      <c r="AJ86" s="570">
        <f>'CT (CTR)'!M76</f>
        <v>0</v>
      </c>
      <c r="AK86" s="570">
        <f>'CT (CTR)'!N76</f>
        <v>0</v>
      </c>
      <c r="AL86" s="570">
        <f>'CT (CTR)'!O76</f>
        <v>0</v>
      </c>
      <c r="AM86" s="570">
        <f>'CT (CTR)'!P76</f>
        <v>0</v>
      </c>
      <c r="AN86" s="570">
        <f>'CT (CTR)'!Q76</f>
        <v>0</v>
      </c>
      <c r="AO86" s="570">
        <f>'CT (CTR)'!R76</f>
        <v>0</v>
      </c>
      <c r="AP86" s="570">
        <f>'CT (CTR)'!S76</f>
        <v>0</v>
      </c>
      <c r="AQ86" s="570">
        <f>'CT (CTR)'!T76</f>
        <v>0</v>
      </c>
      <c r="AR86" s="570">
        <f>'CT (CTR)'!U76</f>
        <v>0</v>
      </c>
      <c r="AS86" s="570">
        <f>'CT (CTR)'!V76</f>
        <v>0</v>
      </c>
      <c r="AT86" s="570">
        <f>'CT (CTR)'!W76</f>
        <v>0</v>
      </c>
      <c r="AU86" s="570">
        <f>'CT (CTR)'!X76</f>
        <v>0</v>
      </c>
      <c r="AV86" s="570">
        <f>'CT (CTR)'!Y76</f>
        <v>0</v>
      </c>
      <c r="AW86" s="570">
        <f>'CT (CTR)'!Z76</f>
        <v>0</v>
      </c>
      <c r="AX86" s="570">
        <f>'CT (CTR)'!AA76</f>
        <v>0</v>
      </c>
      <c r="AY86" s="570">
        <f>'CT (CTR)'!AB76</f>
        <v>0</v>
      </c>
      <c r="AZ86" s="570">
        <f>'CT (CTR)'!AC76</f>
        <v>0</v>
      </c>
      <c r="BA86" s="570">
        <f>'CT (CTR)'!AD76</f>
        <v>0</v>
      </c>
      <c r="BB86" s="570">
        <f>'CT (CTR)'!AE76</f>
        <v>0</v>
      </c>
      <c r="BC86" s="570">
        <f>'CT (CTR)'!G42</f>
        <v>0.37579609696389499</v>
      </c>
      <c r="BD86" s="570">
        <f>'CT (CTR)'!H42</f>
        <v>0.27402056120254997</v>
      </c>
      <c r="BE86" s="570">
        <f>'CT (CTR)'!I42</f>
        <v>8.2313239815397996E-2</v>
      </c>
      <c r="BF86" s="570">
        <f>'CT (CTR)'!J42</f>
        <v>0.12912817428715301</v>
      </c>
      <c r="BG86" s="570">
        <f>'CT (CTR)'!K42</f>
        <v>0.378950586742692</v>
      </c>
      <c r="BH86" s="570">
        <f>'CT (CTR)'!L42</f>
        <v>0.27497596802850499</v>
      </c>
      <c r="BI86" s="570">
        <f>'CT (CTR)'!M42</f>
        <v>0.15326866917397799</v>
      </c>
      <c r="BJ86" s="570">
        <f>'CT (CTR)'!N42</f>
        <v>0.46562904740081101</v>
      </c>
      <c r="BK86" s="570">
        <f>'CT (CTR)'!O42</f>
        <v>0.20789158356818699</v>
      </c>
      <c r="BL86" s="570">
        <f>'CT (CTR)'!P42</f>
        <v>5.1624914834255603E-2</v>
      </c>
      <c r="BM86" s="570">
        <f>'CT (CTR)'!Q42</f>
        <v>4.4096966777230399E-2</v>
      </c>
      <c r="BN86" s="570">
        <f>'CT (CTR)'!R42</f>
        <v>0.105012388197551</v>
      </c>
      <c r="BO86" s="570">
        <f>'CT (CTR)'!S42</f>
        <v>0.101643755509488</v>
      </c>
      <c r="BP86" s="570">
        <f>'CT (CTR)'!T42</f>
        <v>2.6380759168373E-2</v>
      </c>
      <c r="BQ86" s="570">
        <f>'CT (CTR)'!U42</f>
        <v>0</v>
      </c>
      <c r="BR86" s="570">
        <f>'CT (CTR)'!V42</f>
        <v>0</v>
      </c>
      <c r="BS86" s="570">
        <f>'CT (CTR)'!W42</f>
        <v>0</v>
      </c>
      <c r="BT86" s="570">
        <f>'CT (CTR)'!X42</f>
        <v>0</v>
      </c>
      <c r="BU86" s="570">
        <f>'CT (CTR)'!Y42</f>
        <v>0</v>
      </c>
      <c r="BV86" s="570">
        <f>'CT (CTR)'!Z42</f>
        <v>0</v>
      </c>
      <c r="BW86" s="570">
        <f>'CT (CTR)'!AA42</f>
        <v>0</v>
      </c>
      <c r="BX86" s="570">
        <f>'CT (CTR)'!AB42</f>
        <v>0</v>
      </c>
      <c r="BY86" s="570">
        <f>'CT (CTR)'!AC42</f>
        <v>0</v>
      </c>
      <c r="BZ86" s="570">
        <f>'CT (CTR)'!AD42</f>
        <v>0</v>
      </c>
      <c r="CA86" s="570">
        <f>'CT (CTR)'!AE42</f>
        <v>0</v>
      </c>
    </row>
    <row r="87" spans="1:79" x14ac:dyDescent="0.2">
      <c r="A87" s="689" t="str">
        <f>A16</f>
        <v>INTERMED</v>
      </c>
      <c r="B87" s="571">
        <f t="shared" si="25"/>
        <v>0.87499999999999989</v>
      </c>
      <c r="C87" s="566" t="s">
        <v>358</v>
      </c>
      <c r="D87" s="569">
        <v>4</v>
      </c>
      <c r="E87" s="572">
        <f>'CT (CTR)'!G111</f>
        <v>0</v>
      </c>
      <c r="F87" s="572">
        <f>'CT (CTR)'!H111</f>
        <v>0</v>
      </c>
      <c r="G87" s="572">
        <f>'CT (CTR)'!I111</f>
        <v>0</v>
      </c>
      <c r="H87" s="572">
        <f>'CT (CTR)'!J111</f>
        <v>0</v>
      </c>
      <c r="I87" s="572">
        <f>'CT (CTR)'!K111</f>
        <v>0</v>
      </c>
      <c r="J87" s="572">
        <f>'CT (CTR)'!L111</f>
        <v>0</v>
      </c>
      <c r="K87" s="572">
        <f>'CT (CTR)'!M111</f>
        <v>0</v>
      </c>
      <c r="L87" s="572">
        <f>'CT (CTR)'!N111</f>
        <v>0</v>
      </c>
      <c r="M87" s="572">
        <f>'CT (CTR)'!O111</f>
        <v>0</v>
      </c>
      <c r="N87" s="572">
        <f>'CT (CTR)'!P111</f>
        <v>0</v>
      </c>
      <c r="O87" s="572">
        <f>'CT (CTR)'!Q111</f>
        <v>0</v>
      </c>
      <c r="P87" s="572">
        <f>'CT (CTR)'!R111</f>
        <v>0</v>
      </c>
      <c r="Q87" s="572">
        <f>'CT (CTR)'!S111</f>
        <v>0</v>
      </c>
      <c r="R87" s="572">
        <f>'CT (CTR)'!T111</f>
        <v>0</v>
      </c>
      <c r="S87" s="572">
        <f>'CT (CTR)'!U111</f>
        <v>0</v>
      </c>
      <c r="T87" s="572">
        <f>'CT (CTR)'!V111</f>
        <v>0</v>
      </c>
      <c r="U87" s="572">
        <f>'CT (CTR)'!W111</f>
        <v>0</v>
      </c>
      <c r="V87" s="572">
        <f>'CT (CTR)'!X111</f>
        <v>0</v>
      </c>
      <c r="W87" s="572">
        <f>'CT (CTR)'!Y111</f>
        <v>0</v>
      </c>
      <c r="X87" s="572">
        <f>'CT (CTR)'!Z111</f>
        <v>0</v>
      </c>
      <c r="Y87" s="572">
        <f>'CT (CTR)'!AA111</f>
        <v>0</v>
      </c>
      <c r="Z87" s="572">
        <f>'CT (CTR)'!AB111</f>
        <v>0</v>
      </c>
      <c r="AA87" s="572">
        <f>'CT (CTR)'!AC111</f>
        <v>0</v>
      </c>
      <c r="AB87" s="572">
        <f>'CT (CTR)'!AD111</f>
        <v>0</v>
      </c>
      <c r="AC87" s="572">
        <f>'CT (CTR)'!AE111</f>
        <v>0</v>
      </c>
      <c r="AD87" s="572">
        <f>'CT (CTR)'!G77</f>
        <v>0</v>
      </c>
      <c r="AE87" s="572">
        <f>'CT (CTR)'!H77</f>
        <v>0</v>
      </c>
      <c r="AF87" s="572">
        <f>'CT (CTR)'!I77</f>
        <v>0</v>
      </c>
      <c r="AG87" s="572">
        <f>'CT (CTR)'!J77</f>
        <v>0</v>
      </c>
      <c r="AH87" s="572">
        <f>'CT (CTR)'!K77</f>
        <v>0</v>
      </c>
      <c r="AI87" s="572">
        <f>'CT (CTR)'!L77</f>
        <v>0</v>
      </c>
      <c r="AJ87" s="572">
        <f>'CT (CTR)'!M77</f>
        <v>0</v>
      </c>
      <c r="AK87" s="572">
        <f>'CT (CTR)'!N77</f>
        <v>0</v>
      </c>
      <c r="AL87" s="572">
        <f>'CT (CTR)'!O77</f>
        <v>0</v>
      </c>
      <c r="AM87" s="572">
        <f>'CT (CTR)'!P77</f>
        <v>0</v>
      </c>
      <c r="AN87" s="572">
        <f>'CT (CTR)'!Q77</f>
        <v>0</v>
      </c>
      <c r="AO87" s="572">
        <f>'CT (CTR)'!R77</f>
        <v>0</v>
      </c>
      <c r="AP87" s="572">
        <f>'CT (CTR)'!S77</f>
        <v>0</v>
      </c>
      <c r="AQ87" s="572">
        <f>'CT (CTR)'!T77</f>
        <v>0</v>
      </c>
      <c r="AR87" s="572">
        <f>'CT (CTR)'!U77</f>
        <v>0</v>
      </c>
      <c r="AS87" s="572">
        <f>'CT (CTR)'!V77</f>
        <v>0</v>
      </c>
      <c r="AT87" s="572">
        <f>'CT (CTR)'!W77</f>
        <v>0</v>
      </c>
      <c r="AU87" s="572">
        <f>'CT (CTR)'!X77</f>
        <v>0</v>
      </c>
      <c r="AV87" s="572">
        <f>'CT (CTR)'!Y77</f>
        <v>0</v>
      </c>
      <c r="AW87" s="572">
        <f>'CT (CTR)'!Z77</f>
        <v>0</v>
      </c>
      <c r="AX87" s="572">
        <f>'CT (CTR)'!AA77</f>
        <v>0</v>
      </c>
      <c r="AY87" s="572">
        <f>'CT (CTR)'!AB77</f>
        <v>0</v>
      </c>
      <c r="AZ87" s="572">
        <f>'CT (CTR)'!AC77</f>
        <v>0</v>
      </c>
      <c r="BA87" s="572">
        <f>'CT (CTR)'!AD77</f>
        <v>0</v>
      </c>
      <c r="BB87" s="572">
        <f>'CT (CTR)'!AE77</f>
        <v>0</v>
      </c>
      <c r="BC87" s="572">
        <f>'CT (CTR)'!G43</f>
        <v>0.36430650625522099</v>
      </c>
      <c r="BD87" s="572">
        <f>'CT (CTR)'!H43</f>
        <v>0.24537482895540699</v>
      </c>
      <c r="BE87" s="572">
        <f>'CT (CTR)'!I43</f>
        <v>6.8748110139996696E-2</v>
      </c>
      <c r="BF87" s="572">
        <f>'CT (CTR)'!J43</f>
        <v>0.12639373406114601</v>
      </c>
      <c r="BG87" s="572">
        <f>'CT (CTR)'!K43</f>
        <v>0.38072138387700299</v>
      </c>
      <c r="BH87" s="572">
        <f>'CT (CTR)'!L43</f>
        <v>0.26734094968661198</v>
      </c>
      <c r="BI87" s="572">
        <f>'CT (CTR)'!M43</f>
        <v>0.14139197397547901</v>
      </c>
      <c r="BJ87" s="572">
        <f>'CT (CTR)'!N43</f>
        <v>0.44283930009550798</v>
      </c>
      <c r="BK87" s="572">
        <f>'CT (CTR)'!O43</f>
        <v>0.25193089648523098</v>
      </c>
      <c r="BL87" s="572">
        <f>'CT (CTR)'!P43</f>
        <v>1.9767271731448599E-4</v>
      </c>
      <c r="BM87" s="572">
        <f>'CT (CTR)'!Q43</f>
        <v>3.5102964588075498E-2</v>
      </c>
      <c r="BN87" s="572">
        <f>'CT (CTR)'!R43</f>
        <v>8.4882954726585094E-2</v>
      </c>
      <c r="BO87" s="572">
        <f>'CT (CTR)'!S43</f>
        <v>3.4188739090826203E-2</v>
      </c>
      <c r="BP87" s="572">
        <f>'CT (CTR)'!T43</f>
        <v>1.9124609050565702E-2</v>
      </c>
      <c r="BQ87" s="572">
        <f>'CT (CTR)'!U43</f>
        <v>0</v>
      </c>
      <c r="BR87" s="572">
        <f>'CT (CTR)'!V43</f>
        <v>0</v>
      </c>
      <c r="BS87" s="572">
        <f>'CT (CTR)'!W43</f>
        <v>0</v>
      </c>
      <c r="BT87" s="572">
        <f>'CT (CTR)'!X43</f>
        <v>0</v>
      </c>
      <c r="BU87" s="572">
        <f>'CT (CTR)'!Y43</f>
        <v>0</v>
      </c>
      <c r="BV87" s="572">
        <f>'CT (CTR)'!Z43</f>
        <v>0</v>
      </c>
      <c r="BW87" s="572">
        <f>'CT (CTR)'!AA43</f>
        <v>0</v>
      </c>
      <c r="BX87" s="572">
        <f>'CT (CTR)'!AB43</f>
        <v>0</v>
      </c>
      <c r="BY87" s="572">
        <f>'CT (CTR)'!AC43</f>
        <v>0</v>
      </c>
      <c r="BZ87" s="572">
        <f>'CT (CTR)'!AD43</f>
        <v>0</v>
      </c>
      <c r="CA87" s="572">
        <f>'CT (CTR)'!AE43</f>
        <v>0</v>
      </c>
    </row>
    <row r="88" spans="1:79" x14ac:dyDescent="0.2">
      <c r="A88" s="689" t="str">
        <f t="shared" ref="A88:A107" si="26">A17</f>
        <v>FORA PONTA</v>
      </c>
      <c r="B88" s="571">
        <f t="shared" si="25"/>
        <v>0.91666666666666652</v>
      </c>
      <c r="C88" s="566" t="s">
        <v>358</v>
      </c>
      <c r="D88" s="569">
        <v>5</v>
      </c>
      <c r="E88" s="572">
        <f>'CT (CTR)'!G112</f>
        <v>0</v>
      </c>
      <c r="F88" s="572">
        <f>'CT (CTR)'!H112</f>
        <v>0</v>
      </c>
      <c r="G88" s="572">
        <f>'CT (CTR)'!I112</f>
        <v>0</v>
      </c>
      <c r="H88" s="572">
        <f>'CT (CTR)'!J112</f>
        <v>0</v>
      </c>
      <c r="I88" s="572">
        <f>'CT (CTR)'!K112</f>
        <v>0</v>
      </c>
      <c r="J88" s="572">
        <f>'CT (CTR)'!L112</f>
        <v>0</v>
      </c>
      <c r="K88" s="572">
        <f>'CT (CTR)'!M112</f>
        <v>0</v>
      </c>
      <c r="L88" s="572">
        <f>'CT (CTR)'!N112</f>
        <v>0</v>
      </c>
      <c r="M88" s="572">
        <f>'CT (CTR)'!O112</f>
        <v>0</v>
      </c>
      <c r="N88" s="572">
        <f>'CT (CTR)'!P112</f>
        <v>0</v>
      </c>
      <c r="O88" s="572">
        <f>'CT (CTR)'!Q112</f>
        <v>0</v>
      </c>
      <c r="P88" s="572">
        <f>'CT (CTR)'!R112</f>
        <v>0</v>
      </c>
      <c r="Q88" s="572">
        <f>'CT (CTR)'!S112</f>
        <v>0</v>
      </c>
      <c r="R88" s="572">
        <f>'CT (CTR)'!T112</f>
        <v>0</v>
      </c>
      <c r="S88" s="572">
        <f>'CT (CTR)'!U112</f>
        <v>0</v>
      </c>
      <c r="T88" s="572">
        <f>'CT (CTR)'!V112</f>
        <v>0</v>
      </c>
      <c r="U88" s="572">
        <f>'CT (CTR)'!W112</f>
        <v>0</v>
      </c>
      <c r="V88" s="572">
        <f>'CT (CTR)'!X112</f>
        <v>0</v>
      </c>
      <c r="W88" s="572">
        <f>'CT (CTR)'!Y112</f>
        <v>0</v>
      </c>
      <c r="X88" s="572">
        <f>'CT (CTR)'!Z112</f>
        <v>0</v>
      </c>
      <c r="Y88" s="572">
        <f>'CT (CTR)'!AA112</f>
        <v>0</v>
      </c>
      <c r="Z88" s="572">
        <f>'CT (CTR)'!AB112</f>
        <v>0</v>
      </c>
      <c r="AA88" s="572">
        <f>'CT (CTR)'!AC112</f>
        <v>0</v>
      </c>
      <c r="AB88" s="572">
        <f>'CT (CTR)'!AD112</f>
        <v>0</v>
      </c>
      <c r="AC88" s="572">
        <f>'CT (CTR)'!AE112</f>
        <v>0</v>
      </c>
      <c r="AD88" s="572">
        <f>'CT (CTR)'!G78</f>
        <v>0</v>
      </c>
      <c r="AE88" s="572">
        <f>'CT (CTR)'!H78</f>
        <v>0</v>
      </c>
      <c r="AF88" s="572">
        <f>'CT (CTR)'!I78</f>
        <v>0</v>
      </c>
      <c r="AG88" s="572">
        <f>'CT (CTR)'!J78</f>
        <v>0</v>
      </c>
      <c r="AH88" s="572">
        <f>'CT (CTR)'!K78</f>
        <v>0</v>
      </c>
      <c r="AI88" s="572">
        <f>'CT (CTR)'!L78</f>
        <v>0</v>
      </c>
      <c r="AJ88" s="572">
        <f>'CT (CTR)'!M78</f>
        <v>0</v>
      </c>
      <c r="AK88" s="572">
        <f>'CT (CTR)'!N78</f>
        <v>0</v>
      </c>
      <c r="AL88" s="572">
        <f>'CT (CTR)'!O78</f>
        <v>0</v>
      </c>
      <c r="AM88" s="572">
        <f>'CT (CTR)'!P78</f>
        <v>0</v>
      </c>
      <c r="AN88" s="572">
        <f>'CT (CTR)'!Q78</f>
        <v>0</v>
      </c>
      <c r="AO88" s="572">
        <f>'CT (CTR)'!R78</f>
        <v>0</v>
      </c>
      <c r="AP88" s="572">
        <f>'CT (CTR)'!S78</f>
        <v>0</v>
      </c>
      <c r="AQ88" s="572">
        <f>'CT (CTR)'!T78</f>
        <v>0</v>
      </c>
      <c r="AR88" s="572">
        <f>'CT (CTR)'!U78</f>
        <v>0</v>
      </c>
      <c r="AS88" s="572">
        <f>'CT (CTR)'!V78</f>
        <v>0</v>
      </c>
      <c r="AT88" s="572">
        <f>'CT (CTR)'!W78</f>
        <v>0</v>
      </c>
      <c r="AU88" s="572">
        <f>'CT (CTR)'!X78</f>
        <v>0</v>
      </c>
      <c r="AV88" s="572">
        <f>'CT (CTR)'!Y78</f>
        <v>0</v>
      </c>
      <c r="AW88" s="572">
        <f>'CT (CTR)'!Z78</f>
        <v>0</v>
      </c>
      <c r="AX88" s="572">
        <f>'CT (CTR)'!AA78</f>
        <v>0</v>
      </c>
      <c r="AY88" s="572">
        <f>'CT (CTR)'!AB78</f>
        <v>0</v>
      </c>
      <c r="AZ88" s="572">
        <f>'CT (CTR)'!AC78</f>
        <v>0</v>
      </c>
      <c r="BA88" s="572">
        <f>'CT (CTR)'!AD78</f>
        <v>0</v>
      </c>
      <c r="BB88" s="572">
        <f>'CT (CTR)'!AE78</f>
        <v>0</v>
      </c>
      <c r="BC88" s="572">
        <f>'CT (CTR)'!G44</f>
        <v>0.34928355754366602</v>
      </c>
      <c r="BD88" s="572">
        <f>'CT (CTR)'!H44</f>
        <v>0.24254155354050799</v>
      </c>
      <c r="BE88" s="572">
        <f>'CT (CTR)'!I44</f>
        <v>6.7405598824216206E-2</v>
      </c>
      <c r="BF88" s="572">
        <f>'CT (CTR)'!J44</f>
        <v>0.12321453548512599</v>
      </c>
      <c r="BG88" s="572">
        <f>'CT (CTR)'!K44</f>
        <v>0.37890116914824601</v>
      </c>
      <c r="BH88" s="572">
        <f>'CT (CTR)'!L44</f>
        <v>0.182779209323925</v>
      </c>
      <c r="BI88" s="572">
        <f>'CT (CTR)'!M44</f>
        <v>0.128650470874176</v>
      </c>
      <c r="BJ88" s="572">
        <f>'CT (CTR)'!N44</f>
        <v>0.36971773284704801</v>
      </c>
      <c r="BK88" s="572">
        <f>'CT (CTR)'!O44</f>
        <v>0.22905878652251699</v>
      </c>
      <c r="BL88" s="572">
        <f>'CT (CTR)'!P44</f>
        <v>4.94211037421977E-5</v>
      </c>
      <c r="BM88" s="572">
        <f>'CT (CTR)'!Q44</f>
        <v>3.4724096363990202E-2</v>
      </c>
      <c r="BN88" s="572">
        <f>'CT (CTR)'!R44</f>
        <v>7.4241699389233196E-2</v>
      </c>
      <c r="BO88" s="572">
        <f>'CT (CTR)'!S44</f>
        <v>4.0135322955816899E-2</v>
      </c>
      <c r="BP88" s="572">
        <f>'CT (CTR)'!T44</f>
        <v>1.76338449514476E-2</v>
      </c>
      <c r="BQ88" s="572">
        <f>'CT (CTR)'!U44</f>
        <v>0</v>
      </c>
      <c r="BR88" s="572">
        <f>'CT (CTR)'!V44</f>
        <v>0</v>
      </c>
      <c r="BS88" s="572">
        <f>'CT (CTR)'!W44</f>
        <v>0</v>
      </c>
      <c r="BT88" s="572">
        <f>'CT (CTR)'!X44</f>
        <v>0</v>
      </c>
      <c r="BU88" s="572">
        <f>'CT (CTR)'!Y44</f>
        <v>0</v>
      </c>
      <c r="BV88" s="572">
        <f>'CT (CTR)'!Z44</f>
        <v>0</v>
      </c>
      <c r="BW88" s="572">
        <f>'CT (CTR)'!AA44</f>
        <v>0</v>
      </c>
      <c r="BX88" s="572">
        <f>'CT (CTR)'!AB44</f>
        <v>0</v>
      </c>
      <c r="BY88" s="572">
        <f>'CT (CTR)'!AC44</f>
        <v>0</v>
      </c>
      <c r="BZ88" s="572">
        <f>'CT (CTR)'!AD44</f>
        <v>0</v>
      </c>
      <c r="CA88" s="572">
        <f>'CT (CTR)'!AE44</f>
        <v>0</v>
      </c>
    </row>
    <row r="89" spans="1:79" x14ac:dyDescent="0.2">
      <c r="A89" s="689" t="str">
        <f t="shared" si="26"/>
        <v>FORA PONTA</v>
      </c>
      <c r="B89" s="571">
        <f t="shared" si="25"/>
        <v>0.95833333333333315</v>
      </c>
      <c r="C89" s="566" t="s">
        <v>358</v>
      </c>
      <c r="D89" s="569">
        <v>6</v>
      </c>
      <c r="E89" s="572">
        <f>'CT (CTR)'!G113</f>
        <v>0</v>
      </c>
      <c r="F89" s="572">
        <f>'CT (CTR)'!H113</f>
        <v>0</v>
      </c>
      <c r="G89" s="572">
        <f>'CT (CTR)'!I113</f>
        <v>0</v>
      </c>
      <c r="H89" s="572">
        <f>'CT (CTR)'!J113</f>
        <v>0</v>
      </c>
      <c r="I89" s="572">
        <f>'CT (CTR)'!K113</f>
        <v>0</v>
      </c>
      <c r="J89" s="572">
        <f>'CT (CTR)'!L113</f>
        <v>0</v>
      </c>
      <c r="K89" s="572">
        <f>'CT (CTR)'!M113</f>
        <v>0</v>
      </c>
      <c r="L89" s="572">
        <f>'CT (CTR)'!N113</f>
        <v>0</v>
      </c>
      <c r="M89" s="572">
        <f>'CT (CTR)'!O113</f>
        <v>0</v>
      </c>
      <c r="N89" s="572">
        <f>'CT (CTR)'!P113</f>
        <v>0</v>
      </c>
      <c r="O89" s="572">
        <f>'CT (CTR)'!Q113</f>
        <v>0</v>
      </c>
      <c r="P89" s="572">
        <f>'CT (CTR)'!R113</f>
        <v>0</v>
      </c>
      <c r="Q89" s="572">
        <f>'CT (CTR)'!S113</f>
        <v>0</v>
      </c>
      <c r="R89" s="572">
        <f>'CT (CTR)'!T113</f>
        <v>0</v>
      </c>
      <c r="S89" s="572">
        <f>'CT (CTR)'!U113</f>
        <v>0</v>
      </c>
      <c r="T89" s="572">
        <f>'CT (CTR)'!V113</f>
        <v>0</v>
      </c>
      <c r="U89" s="572">
        <f>'CT (CTR)'!W113</f>
        <v>0</v>
      </c>
      <c r="V89" s="572">
        <f>'CT (CTR)'!X113</f>
        <v>0</v>
      </c>
      <c r="W89" s="572">
        <f>'CT (CTR)'!Y113</f>
        <v>0</v>
      </c>
      <c r="X89" s="572">
        <f>'CT (CTR)'!Z113</f>
        <v>0</v>
      </c>
      <c r="Y89" s="572">
        <f>'CT (CTR)'!AA113</f>
        <v>0</v>
      </c>
      <c r="Z89" s="572">
        <f>'CT (CTR)'!AB113</f>
        <v>0</v>
      </c>
      <c r="AA89" s="572">
        <f>'CT (CTR)'!AC113</f>
        <v>0</v>
      </c>
      <c r="AB89" s="572">
        <f>'CT (CTR)'!AD113</f>
        <v>0</v>
      </c>
      <c r="AC89" s="572">
        <f>'CT (CTR)'!AE113</f>
        <v>0</v>
      </c>
      <c r="AD89" s="572">
        <f>'CT (CTR)'!G79</f>
        <v>0</v>
      </c>
      <c r="AE89" s="572">
        <f>'CT (CTR)'!H79</f>
        <v>0</v>
      </c>
      <c r="AF89" s="572">
        <f>'CT (CTR)'!I79</f>
        <v>0</v>
      </c>
      <c r="AG89" s="572">
        <f>'CT (CTR)'!J79</f>
        <v>0</v>
      </c>
      <c r="AH89" s="572">
        <f>'CT (CTR)'!K79</f>
        <v>0</v>
      </c>
      <c r="AI89" s="572">
        <f>'CT (CTR)'!L79</f>
        <v>0</v>
      </c>
      <c r="AJ89" s="572">
        <f>'CT (CTR)'!M79</f>
        <v>0</v>
      </c>
      <c r="AK89" s="572">
        <f>'CT (CTR)'!N79</f>
        <v>0</v>
      </c>
      <c r="AL89" s="572">
        <f>'CT (CTR)'!O79</f>
        <v>0</v>
      </c>
      <c r="AM89" s="572">
        <f>'CT (CTR)'!P79</f>
        <v>0</v>
      </c>
      <c r="AN89" s="572">
        <f>'CT (CTR)'!Q79</f>
        <v>0</v>
      </c>
      <c r="AO89" s="572">
        <f>'CT (CTR)'!R79</f>
        <v>0</v>
      </c>
      <c r="AP89" s="572">
        <f>'CT (CTR)'!S79</f>
        <v>0</v>
      </c>
      <c r="AQ89" s="572">
        <f>'CT (CTR)'!T79</f>
        <v>0</v>
      </c>
      <c r="AR89" s="572">
        <f>'CT (CTR)'!U79</f>
        <v>0</v>
      </c>
      <c r="AS89" s="572">
        <f>'CT (CTR)'!V79</f>
        <v>0</v>
      </c>
      <c r="AT89" s="572">
        <f>'CT (CTR)'!W79</f>
        <v>0</v>
      </c>
      <c r="AU89" s="572">
        <f>'CT (CTR)'!X79</f>
        <v>0</v>
      </c>
      <c r="AV89" s="572">
        <f>'CT (CTR)'!Y79</f>
        <v>0</v>
      </c>
      <c r="AW89" s="572">
        <f>'CT (CTR)'!Z79</f>
        <v>0</v>
      </c>
      <c r="AX89" s="572">
        <f>'CT (CTR)'!AA79</f>
        <v>0</v>
      </c>
      <c r="AY89" s="572">
        <f>'CT (CTR)'!AB79</f>
        <v>0</v>
      </c>
      <c r="AZ89" s="572">
        <f>'CT (CTR)'!AC79</f>
        <v>0</v>
      </c>
      <c r="BA89" s="572">
        <f>'CT (CTR)'!AD79</f>
        <v>0</v>
      </c>
      <c r="BB89" s="572">
        <f>'CT (CTR)'!AE79</f>
        <v>0</v>
      </c>
      <c r="BC89" s="572">
        <f>'CT (CTR)'!G45</f>
        <v>0.32858582173657203</v>
      </c>
      <c r="BD89" s="572">
        <f>'CT (CTR)'!H45</f>
        <v>0.19164143126122499</v>
      </c>
      <c r="BE89" s="572">
        <f>'CT (CTR)'!I45</f>
        <v>5.2242633595064002E-2</v>
      </c>
      <c r="BF89" s="572">
        <f>'CT (CTR)'!J45</f>
        <v>0.119755303873913</v>
      </c>
      <c r="BG89" s="572">
        <f>'CT (CTR)'!K45</f>
        <v>0.28134260144628598</v>
      </c>
      <c r="BH89" s="572">
        <f>'CT (CTR)'!L45</f>
        <v>8.1003673562581299E-2</v>
      </c>
      <c r="BI89" s="572">
        <f>'CT (CTR)'!M45</f>
        <v>0.13065188344923601</v>
      </c>
      <c r="BJ89" s="572">
        <f>'CT (CTR)'!N45</f>
        <v>0.204424115691233</v>
      </c>
      <c r="BK89" s="572">
        <f>'CT (CTR)'!O45</f>
        <v>0.21415114553133499</v>
      </c>
      <c r="BL89" s="572">
        <f>'CT (CTR)'!P45</f>
        <v>1.9767271731448599E-4</v>
      </c>
      <c r="BM89" s="572">
        <f>'CT (CTR)'!Q45</f>
        <v>3.4674678769544297E-2</v>
      </c>
      <c r="BN89" s="572">
        <f>'CT (CTR)'!R45</f>
        <v>6.7751521985337501E-2</v>
      </c>
      <c r="BO89" s="572">
        <f>'CT (CTR)'!S45</f>
        <v>2.67843361896812E-2</v>
      </c>
      <c r="BP89" s="572">
        <f>'CT (CTR)'!T45</f>
        <v>1.7230267930139299E-2</v>
      </c>
      <c r="BQ89" s="572">
        <f>'CT (CTR)'!U45</f>
        <v>0</v>
      </c>
      <c r="BR89" s="572">
        <f>'CT (CTR)'!V45</f>
        <v>0</v>
      </c>
      <c r="BS89" s="572">
        <f>'CT (CTR)'!W45</f>
        <v>0</v>
      </c>
      <c r="BT89" s="572">
        <f>'CT (CTR)'!X45</f>
        <v>0</v>
      </c>
      <c r="BU89" s="572">
        <f>'CT (CTR)'!Y45</f>
        <v>0</v>
      </c>
      <c r="BV89" s="572">
        <f>'CT (CTR)'!Z45</f>
        <v>0</v>
      </c>
      <c r="BW89" s="572">
        <f>'CT (CTR)'!AA45</f>
        <v>0</v>
      </c>
      <c r="BX89" s="572">
        <f>'CT (CTR)'!AB45</f>
        <v>0</v>
      </c>
      <c r="BY89" s="572">
        <f>'CT (CTR)'!AC45</f>
        <v>0</v>
      </c>
      <c r="BZ89" s="572">
        <f>'CT (CTR)'!AD45</f>
        <v>0</v>
      </c>
      <c r="CA89" s="572">
        <f>'CT (CTR)'!AE45</f>
        <v>0</v>
      </c>
    </row>
    <row r="90" spans="1:79" x14ac:dyDescent="0.2">
      <c r="A90" s="689" t="str">
        <f t="shared" si="26"/>
        <v>FORA PONTA</v>
      </c>
      <c r="B90" s="571">
        <f t="shared" si="25"/>
        <v>0.99999999999999978</v>
      </c>
      <c r="C90" s="566" t="s">
        <v>358</v>
      </c>
      <c r="D90" s="569">
        <v>7</v>
      </c>
      <c r="E90" s="572">
        <f>'CT (CTR)'!G114</f>
        <v>0</v>
      </c>
      <c r="F90" s="572">
        <f>'CT (CTR)'!H114</f>
        <v>0</v>
      </c>
      <c r="G90" s="572">
        <f>'CT (CTR)'!I114</f>
        <v>0</v>
      </c>
      <c r="H90" s="572">
        <f>'CT (CTR)'!J114</f>
        <v>0</v>
      </c>
      <c r="I90" s="572">
        <f>'CT (CTR)'!K114</f>
        <v>0</v>
      </c>
      <c r="J90" s="572">
        <f>'CT (CTR)'!L114</f>
        <v>0</v>
      </c>
      <c r="K90" s="572">
        <f>'CT (CTR)'!M114</f>
        <v>0</v>
      </c>
      <c r="L90" s="572">
        <f>'CT (CTR)'!N114</f>
        <v>0</v>
      </c>
      <c r="M90" s="572">
        <f>'CT (CTR)'!O114</f>
        <v>0</v>
      </c>
      <c r="N90" s="572">
        <f>'CT (CTR)'!P114</f>
        <v>0</v>
      </c>
      <c r="O90" s="572">
        <f>'CT (CTR)'!Q114</f>
        <v>0</v>
      </c>
      <c r="P90" s="572">
        <f>'CT (CTR)'!R114</f>
        <v>0</v>
      </c>
      <c r="Q90" s="572">
        <f>'CT (CTR)'!S114</f>
        <v>0</v>
      </c>
      <c r="R90" s="572">
        <f>'CT (CTR)'!T114</f>
        <v>0</v>
      </c>
      <c r="S90" s="572">
        <f>'CT (CTR)'!U114</f>
        <v>0</v>
      </c>
      <c r="T90" s="572">
        <f>'CT (CTR)'!V114</f>
        <v>0</v>
      </c>
      <c r="U90" s="572">
        <f>'CT (CTR)'!W114</f>
        <v>0</v>
      </c>
      <c r="V90" s="572">
        <f>'CT (CTR)'!X114</f>
        <v>0</v>
      </c>
      <c r="W90" s="572">
        <f>'CT (CTR)'!Y114</f>
        <v>0</v>
      </c>
      <c r="X90" s="572">
        <f>'CT (CTR)'!Z114</f>
        <v>0</v>
      </c>
      <c r="Y90" s="572">
        <f>'CT (CTR)'!AA114</f>
        <v>0</v>
      </c>
      <c r="Z90" s="572">
        <f>'CT (CTR)'!AB114</f>
        <v>0</v>
      </c>
      <c r="AA90" s="572">
        <f>'CT (CTR)'!AC114</f>
        <v>0</v>
      </c>
      <c r="AB90" s="572">
        <f>'CT (CTR)'!AD114</f>
        <v>0</v>
      </c>
      <c r="AC90" s="572">
        <f>'CT (CTR)'!AE114</f>
        <v>0</v>
      </c>
      <c r="AD90" s="572">
        <f>'CT (CTR)'!G80</f>
        <v>0</v>
      </c>
      <c r="AE90" s="572">
        <f>'CT (CTR)'!H80</f>
        <v>0</v>
      </c>
      <c r="AF90" s="572">
        <f>'CT (CTR)'!I80</f>
        <v>0</v>
      </c>
      <c r="AG90" s="572">
        <f>'CT (CTR)'!J80</f>
        <v>0</v>
      </c>
      <c r="AH90" s="572">
        <f>'CT (CTR)'!K80</f>
        <v>0</v>
      </c>
      <c r="AI90" s="572">
        <f>'CT (CTR)'!L80</f>
        <v>0</v>
      </c>
      <c r="AJ90" s="572">
        <f>'CT (CTR)'!M80</f>
        <v>0</v>
      </c>
      <c r="AK90" s="572">
        <f>'CT (CTR)'!N80</f>
        <v>0</v>
      </c>
      <c r="AL90" s="572">
        <f>'CT (CTR)'!O80</f>
        <v>0</v>
      </c>
      <c r="AM90" s="572">
        <f>'CT (CTR)'!P80</f>
        <v>0</v>
      </c>
      <c r="AN90" s="572">
        <f>'CT (CTR)'!Q80</f>
        <v>0</v>
      </c>
      <c r="AO90" s="572">
        <f>'CT (CTR)'!R80</f>
        <v>0</v>
      </c>
      <c r="AP90" s="572">
        <f>'CT (CTR)'!S80</f>
        <v>0</v>
      </c>
      <c r="AQ90" s="572">
        <f>'CT (CTR)'!T80</f>
        <v>0</v>
      </c>
      <c r="AR90" s="572">
        <f>'CT (CTR)'!U80</f>
        <v>0</v>
      </c>
      <c r="AS90" s="572">
        <f>'CT (CTR)'!V80</f>
        <v>0</v>
      </c>
      <c r="AT90" s="572">
        <f>'CT (CTR)'!W80</f>
        <v>0</v>
      </c>
      <c r="AU90" s="572">
        <f>'CT (CTR)'!X80</f>
        <v>0</v>
      </c>
      <c r="AV90" s="572">
        <f>'CT (CTR)'!Y80</f>
        <v>0</v>
      </c>
      <c r="AW90" s="572">
        <f>'CT (CTR)'!Z80</f>
        <v>0</v>
      </c>
      <c r="AX90" s="572">
        <f>'CT (CTR)'!AA80</f>
        <v>0</v>
      </c>
      <c r="AY90" s="572">
        <f>'CT (CTR)'!AB80</f>
        <v>0</v>
      </c>
      <c r="AZ90" s="572">
        <f>'CT (CTR)'!AC80</f>
        <v>0</v>
      </c>
      <c r="BA90" s="572">
        <f>'CT (CTR)'!AD80</f>
        <v>0</v>
      </c>
      <c r="BB90" s="572">
        <f>'CT (CTR)'!AE80</f>
        <v>0</v>
      </c>
      <c r="BC90" s="572">
        <f>'CT (CTR)'!G46</f>
        <v>0.341384978698062</v>
      </c>
      <c r="BD90" s="572">
        <f>'CT (CTR)'!H46</f>
        <v>0.21402760154521999</v>
      </c>
      <c r="BE90" s="572">
        <f>'CT (CTR)'!I46</f>
        <v>5.6780816018346399E-2</v>
      </c>
      <c r="BF90" s="572">
        <f>'CT (CTR)'!J46</f>
        <v>9.5343012217635303E-2</v>
      </c>
      <c r="BG90" s="572">
        <f>'CT (CTR)'!K46</f>
        <v>0.252976902234335</v>
      </c>
      <c r="BH90" s="572">
        <f>'CT (CTR)'!L46</f>
        <v>6.4086383730599494E-2</v>
      </c>
      <c r="BI90" s="572">
        <f>'CT (CTR)'!M46</f>
        <v>0.116172528276585</v>
      </c>
      <c r="BJ90" s="572">
        <f>'CT (CTR)'!N46</f>
        <v>0.13518182960677699</v>
      </c>
      <c r="BK90" s="572">
        <f>'CT (CTR)'!O46</f>
        <v>0.196574954440074</v>
      </c>
      <c r="BL90" s="572">
        <f>'CT (CTR)'!P46</f>
        <v>4.94211037421977E-5</v>
      </c>
      <c r="BM90" s="572">
        <f>'CT (CTR)'!Q46</f>
        <v>3.5300634965859098E-2</v>
      </c>
      <c r="BN90" s="572">
        <f>'CT (CTR)'!R46</f>
        <v>5.1427243286706503E-2</v>
      </c>
      <c r="BO90" s="572">
        <f>'CT (CTR)'!S46</f>
        <v>1.7988004378309899E-2</v>
      </c>
      <c r="BP90" s="572">
        <f>'CT (CTR)'!T46</f>
        <v>3.5325343763082002E-2</v>
      </c>
      <c r="BQ90" s="572">
        <f>'CT (CTR)'!U46</f>
        <v>0</v>
      </c>
      <c r="BR90" s="572">
        <f>'CT (CTR)'!V46</f>
        <v>0</v>
      </c>
      <c r="BS90" s="572">
        <f>'CT (CTR)'!W46</f>
        <v>0</v>
      </c>
      <c r="BT90" s="572">
        <f>'CT (CTR)'!X46</f>
        <v>0</v>
      </c>
      <c r="BU90" s="572">
        <f>'CT (CTR)'!Y46</f>
        <v>0</v>
      </c>
      <c r="BV90" s="572">
        <f>'CT (CTR)'!Z46</f>
        <v>0</v>
      </c>
      <c r="BW90" s="572">
        <f>'CT (CTR)'!AA46</f>
        <v>0</v>
      </c>
      <c r="BX90" s="572">
        <f>'CT (CTR)'!AB46</f>
        <v>0</v>
      </c>
      <c r="BY90" s="572">
        <f>'CT (CTR)'!AC46</f>
        <v>0</v>
      </c>
      <c r="BZ90" s="572">
        <f>'CT (CTR)'!AD46</f>
        <v>0</v>
      </c>
      <c r="CA90" s="572">
        <f>'CT (CTR)'!AE46</f>
        <v>0</v>
      </c>
    </row>
    <row r="91" spans="1:79" x14ac:dyDescent="0.2">
      <c r="A91" s="689" t="str">
        <f t="shared" si="26"/>
        <v>FORA PONTA</v>
      </c>
      <c r="B91" s="571">
        <f t="shared" si="25"/>
        <v>1.0416666666666665</v>
      </c>
      <c r="C91" s="566" t="s">
        <v>358</v>
      </c>
      <c r="D91" s="569">
        <v>8</v>
      </c>
      <c r="E91" s="572">
        <f>'CT (CTR)'!G115</f>
        <v>0</v>
      </c>
      <c r="F91" s="572">
        <f>'CT (CTR)'!H115</f>
        <v>0</v>
      </c>
      <c r="G91" s="572">
        <f>'CT (CTR)'!I115</f>
        <v>0</v>
      </c>
      <c r="H91" s="572">
        <f>'CT (CTR)'!J115</f>
        <v>0</v>
      </c>
      <c r="I91" s="572">
        <f>'CT (CTR)'!K115</f>
        <v>0</v>
      </c>
      <c r="J91" s="572">
        <f>'CT (CTR)'!L115</f>
        <v>0</v>
      </c>
      <c r="K91" s="572">
        <f>'CT (CTR)'!M115</f>
        <v>0</v>
      </c>
      <c r="L91" s="572">
        <f>'CT (CTR)'!N115</f>
        <v>0</v>
      </c>
      <c r="M91" s="572">
        <f>'CT (CTR)'!O115</f>
        <v>0</v>
      </c>
      <c r="N91" s="572">
        <f>'CT (CTR)'!P115</f>
        <v>0</v>
      </c>
      <c r="O91" s="572">
        <f>'CT (CTR)'!Q115</f>
        <v>0</v>
      </c>
      <c r="P91" s="572">
        <f>'CT (CTR)'!R115</f>
        <v>0</v>
      </c>
      <c r="Q91" s="572">
        <f>'CT (CTR)'!S115</f>
        <v>0</v>
      </c>
      <c r="R91" s="572">
        <f>'CT (CTR)'!T115</f>
        <v>0</v>
      </c>
      <c r="S91" s="572">
        <f>'CT (CTR)'!U115</f>
        <v>0</v>
      </c>
      <c r="T91" s="572">
        <f>'CT (CTR)'!V115</f>
        <v>0</v>
      </c>
      <c r="U91" s="572">
        <f>'CT (CTR)'!W115</f>
        <v>0</v>
      </c>
      <c r="V91" s="572">
        <f>'CT (CTR)'!X115</f>
        <v>0</v>
      </c>
      <c r="W91" s="572">
        <f>'CT (CTR)'!Y115</f>
        <v>0</v>
      </c>
      <c r="X91" s="572">
        <f>'CT (CTR)'!Z115</f>
        <v>0</v>
      </c>
      <c r="Y91" s="572">
        <f>'CT (CTR)'!AA115</f>
        <v>0</v>
      </c>
      <c r="Z91" s="572">
        <f>'CT (CTR)'!AB115</f>
        <v>0</v>
      </c>
      <c r="AA91" s="572">
        <f>'CT (CTR)'!AC115</f>
        <v>0</v>
      </c>
      <c r="AB91" s="572">
        <f>'CT (CTR)'!AD115</f>
        <v>0</v>
      </c>
      <c r="AC91" s="572">
        <f>'CT (CTR)'!AE115</f>
        <v>0</v>
      </c>
      <c r="AD91" s="572">
        <f>'CT (CTR)'!G81</f>
        <v>0</v>
      </c>
      <c r="AE91" s="572">
        <f>'CT (CTR)'!H81</f>
        <v>0</v>
      </c>
      <c r="AF91" s="572">
        <f>'CT (CTR)'!I81</f>
        <v>0</v>
      </c>
      <c r="AG91" s="572">
        <f>'CT (CTR)'!J81</f>
        <v>0</v>
      </c>
      <c r="AH91" s="572">
        <f>'CT (CTR)'!K81</f>
        <v>0</v>
      </c>
      <c r="AI91" s="572">
        <f>'CT (CTR)'!L81</f>
        <v>0</v>
      </c>
      <c r="AJ91" s="572">
        <f>'CT (CTR)'!M81</f>
        <v>0</v>
      </c>
      <c r="AK91" s="572">
        <f>'CT (CTR)'!N81</f>
        <v>0</v>
      </c>
      <c r="AL91" s="572">
        <f>'CT (CTR)'!O81</f>
        <v>0</v>
      </c>
      <c r="AM91" s="572">
        <f>'CT (CTR)'!P81</f>
        <v>0</v>
      </c>
      <c r="AN91" s="572">
        <f>'CT (CTR)'!Q81</f>
        <v>0</v>
      </c>
      <c r="AO91" s="572">
        <f>'CT (CTR)'!R81</f>
        <v>0</v>
      </c>
      <c r="AP91" s="572">
        <f>'CT (CTR)'!S81</f>
        <v>0</v>
      </c>
      <c r="AQ91" s="572">
        <f>'CT (CTR)'!T81</f>
        <v>0</v>
      </c>
      <c r="AR91" s="572">
        <f>'CT (CTR)'!U81</f>
        <v>0</v>
      </c>
      <c r="AS91" s="572">
        <f>'CT (CTR)'!V81</f>
        <v>0</v>
      </c>
      <c r="AT91" s="572">
        <f>'CT (CTR)'!W81</f>
        <v>0</v>
      </c>
      <c r="AU91" s="572">
        <f>'CT (CTR)'!X81</f>
        <v>0</v>
      </c>
      <c r="AV91" s="572">
        <f>'CT (CTR)'!Y81</f>
        <v>0</v>
      </c>
      <c r="AW91" s="572">
        <f>'CT (CTR)'!Z81</f>
        <v>0</v>
      </c>
      <c r="AX91" s="572">
        <f>'CT (CTR)'!AA81</f>
        <v>0</v>
      </c>
      <c r="AY91" s="572">
        <f>'CT (CTR)'!AB81</f>
        <v>0</v>
      </c>
      <c r="AZ91" s="572">
        <f>'CT (CTR)'!AC81</f>
        <v>0</v>
      </c>
      <c r="BA91" s="572">
        <f>'CT (CTR)'!AD81</f>
        <v>0</v>
      </c>
      <c r="BB91" s="572">
        <f>'CT (CTR)'!AE81</f>
        <v>0</v>
      </c>
      <c r="BC91" s="572">
        <f>'CT (CTR)'!G47</f>
        <v>0.33034014633940201</v>
      </c>
      <c r="BD91" s="572">
        <f>'CT (CTR)'!H47</f>
        <v>0.213418117880387</v>
      </c>
      <c r="BE91" s="572">
        <f>'CT (CTR)'!I47</f>
        <v>5.10401387968802E-2</v>
      </c>
      <c r="BF91" s="572">
        <f>'CT (CTR)'!J47</f>
        <v>9.9609397871465194E-2</v>
      </c>
      <c r="BG91" s="572">
        <f>'CT (CTR)'!K47</f>
        <v>0.24134729500806501</v>
      </c>
      <c r="BH91" s="572">
        <f>'CT (CTR)'!L47</f>
        <v>6.1854355714792801E-2</v>
      </c>
      <c r="BI91" s="572">
        <f>'CT (CTR)'!M47</f>
        <v>0.111848488762568</v>
      </c>
      <c r="BJ91" s="572">
        <f>'CT (CTR)'!N47</f>
        <v>0.11207086793757499</v>
      </c>
      <c r="BK91" s="572">
        <f>'CT (CTR)'!O47</f>
        <v>0.21264390890073501</v>
      </c>
      <c r="BL91" s="572">
        <f>'CT (CTR)'!P47</f>
        <v>4.94211037421977E-5</v>
      </c>
      <c r="BM91" s="572">
        <f>'CT (CTR)'!Q47</f>
        <v>3.55312504066067E-2</v>
      </c>
      <c r="BN91" s="572">
        <f>'CT (CTR)'!R47</f>
        <v>5.0900122279283498E-2</v>
      </c>
      <c r="BO91" s="572">
        <f>'CT (CTR)'!S47</f>
        <v>1.6991416223650802E-2</v>
      </c>
      <c r="BP91" s="572">
        <f>'CT (CTR)'!T47</f>
        <v>1.531121801249E-2</v>
      </c>
      <c r="BQ91" s="572">
        <f>'CT (CTR)'!U47</f>
        <v>0</v>
      </c>
      <c r="BR91" s="572">
        <f>'CT (CTR)'!V47</f>
        <v>0</v>
      </c>
      <c r="BS91" s="572">
        <f>'CT (CTR)'!W47</f>
        <v>0</v>
      </c>
      <c r="BT91" s="572">
        <f>'CT (CTR)'!X47</f>
        <v>0</v>
      </c>
      <c r="BU91" s="572">
        <f>'CT (CTR)'!Y47</f>
        <v>0</v>
      </c>
      <c r="BV91" s="572">
        <f>'CT (CTR)'!Z47</f>
        <v>0</v>
      </c>
      <c r="BW91" s="572">
        <f>'CT (CTR)'!AA47</f>
        <v>0</v>
      </c>
      <c r="BX91" s="572">
        <f>'CT (CTR)'!AB47</f>
        <v>0</v>
      </c>
      <c r="BY91" s="572">
        <f>'CT (CTR)'!AC47</f>
        <v>0</v>
      </c>
      <c r="BZ91" s="572">
        <f>'CT (CTR)'!AD47</f>
        <v>0</v>
      </c>
      <c r="CA91" s="572">
        <f>'CT (CTR)'!AE47</f>
        <v>0</v>
      </c>
    </row>
    <row r="92" spans="1:79" x14ac:dyDescent="0.2">
      <c r="A92" s="689" t="str">
        <f t="shared" si="26"/>
        <v>FORA PONTA</v>
      </c>
      <c r="B92" s="571">
        <f t="shared" si="25"/>
        <v>1.0833333333333333</v>
      </c>
      <c r="C92" s="566" t="s">
        <v>358</v>
      </c>
      <c r="D92" s="569">
        <v>9</v>
      </c>
      <c r="E92" s="572">
        <f>'CT (CTR)'!G116</f>
        <v>0</v>
      </c>
      <c r="F92" s="572">
        <f>'CT (CTR)'!H116</f>
        <v>0</v>
      </c>
      <c r="G92" s="572">
        <f>'CT (CTR)'!I116</f>
        <v>0</v>
      </c>
      <c r="H92" s="572">
        <f>'CT (CTR)'!J116</f>
        <v>0</v>
      </c>
      <c r="I92" s="572">
        <f>'CT (CTR)'!K116</f>
        <v>0</v>
      </c>
      <c r="J92" s="572">
        <f>'CT (CTR)'!L116</f>
        <v>0</v>
      </c>
      <c r="K92" s="572">
        <f>'CT (CTR)'!M116</f>
        <v>0</v>
      </c>
      <c r="L92" s="572">
        <f>'CT (CTR)'!N116</f>
        <v>0</v>
      </c>
      <c r="M92" s="572">
        <f>'CT (CTR)'!O116</f>
        <v>0</v>
      </c>
      <c r="N92" s="572">
        <f>'CT (CTR)'!P116</f>
        <v>0</v>
      </c>
      <c r="O92" s="572">
        <f>'CT (CTR)'!Q116</f>
        <v>0</v>
      </c>
      <c r="P92" s="572">
        <f>'CT (CTR)'!R116</f>
        <v>0</v>
      </c>
      <c r="Q92" s="572">
        <f>'CT (CTR)'!S116</f>
        <v>0</v>
      </c>
      <c r="R92" s="572">
        <f>'CT (CTR)'!T116</f>
        <v>0</v>
      </c>
      <c r="S92" s="572">
        <f>'CT (CTR)'!U116</f>
        <v>0</v>
      </c>
      <c r="T92" s="572">
        <f>'CT (CTR)'!V116</f>
        <v>0</v>
      </c>
      <c r="U92" s="572">
        <f>'CT (CTR)'!W116</f>
        <v>0</v>
      </c>
      <c r="V92" s="572">
        <f>'CT (CTR)'!X116</f>
        <v>0</v>
      </c>
      <c r="W92" s="572">
        <f>'CT (CTR)'!Y116</f>
        <v>0</v>
      </c>
      <c r="X92" s="572">
        <f>'CT (CTR)'!Z116</f>
        <v>0</v>
      </c>
      <c r="Y92" s="572">
        <f>'CT (CTR)'!AA116</f>
        <v>0</v>
      </c>
      <c r="Z92" s="572">
        <f>'CT (CTR)'!AB116</f>
        <v>0</v>
      </c>
      <c r="AA92" s="572">
        <f>'CT (CTR)'!AC116</f>
        <v>0</v>
      </c>
      <c r="AB92" s="572">
        <f>'CT (CTR)'!AD116</f>
        <v>0</v>
      </c>
      <c r="AC92" s="572">
        <f>'CT (CTR)'!AE116</f>
        <v>0</v>
      </c>
      <c r="AD92" s="572">
        <f>'CT (CTR)'!G82</f>
        <v>0</v>
      </c>
      <c r="AE92" s="572">
        <f>'CT (CTR)'!H82</f>
        <v>0</v>
      </c>
      <c r="AF92" s="572">
        <f>'CT (CTR)'!I82</f>
        <v>0</v>
      </c>
      <c r="AG92" s="572">
        <f>'CT (CTR)'!J82</f>
        <v>0</v>
      </c>
      <c r="AH92" s="572">
        <f>'CT (CTR)'!K82</f>
        <v>0</v>
      </c>
      <c r="AI92" s="572">
        <f>'CT (CTR)'!L82</f>
        <v>0</v>
      </c>
      <c r="AJ92" s="572">
        <f>'CT (CTR)'!M82</f>
        <v>0</v>
      </c>
      <c r="AK92" s="572">
        <f>'CT (CTR)'!N82</f>
        <v>0</v>
      </c>
      <c r="AL92" s="572">
        <f>'CT (CTR)'!O82</f>
        <v>0</v>
      </c>
      <c r="AM92" s="572">
        <f>'CT (CTR)'!P82</f>
        <v>0</v>
      </c>
      <c r="AN92" s="572">
        <f>'CT (CTR)'!Q82</f>
        <v>0</v>
      </c>
      <c r="AO92" s="572">
        <f>'CT (CTR)'!R82</f>
        <v>0</v>
      </c>
      <c r="AP92" s="572">
        <f>'CT (CTR)'!S82</f>
        <v>0</v>
      </c>
      <c r="AQ92" s="572">
        <f>'CT (CTR)'!T82</f>
        <v>0</v>
      </c>
      <c r="AR92" s="572">
        <f>'CT (CTR)'!U82</f>
        <v>0</v>
      </c>
      <c r="AS92" s="572">
        <f>'CT (CTR)'!V82</f>
        <v>0</v>
      </c>
      <c r="AT92" s="572">
        <f>'CT (CTR)'!W82</f>
        <v>0</v>
      </c>
      <c r="AU92" s="572">
        <f>'CT (CTR)'!X82</f>
        <v>0</v>
      </c>
      <c r="AV92" s="572">
        <f>'CT (CTR)'!Y82</f>
        <v>0</v>
      </c>
      <c r="AW92" s="572">
        <f>'CT (CTR)'!Z82</f>
        <v>0</v>
      </c>
      <c r="AX92" s="572">
        <f>'CT (CTR)'!AA82</f>
        <v>0</v>
      </c>
      <c r="AY92" s="572">
        <f>'CT (CTR)'!AB82</f>
        <v>0</v>
      </c>
      <c r="AZ92" s="572">
        <f>'CT (CTR)'!AC82</f>
        <v>0</v>
      </c>
      <c r="BA92" s="572">
        <f>'CT (CTR)'!AD82</f>
        <v>0</v>
      </c>
      <c r="BB92" s="572">
        <f>'CT (CTR)'!AE82</f>
        <v>0</v>
      </c>
      <c r="BC92" s="572">
        <f>'CT (CTR)'!G48</f>
        <v>0.337398626079425</v>
      </c>
      <c r="BD92" s="572">
        <f>'CT (CTR)'!H48</f>
        <v>0.222099141971385</v>
      </c>
      <c r="BE92" s="572">
        <f>'CT (CTR)'!I48</f>
        <v>5.6854942410015201E-2</v>
      </c>
      <c r="BF92" s="572">
        <f>'CT (CTR)'!J48</f>
        <v>9.5804243099130507E-2</v>
      </c>
      <c r="BG92" s="572">
        <f>'CT (CTR)'!K48</f>
        <v>0.22096253729912901</v>
      </c>
      <c r="BH92" s="572">
        <f>'CT (CTR)'!L48</f>
        <v>6.3995784807448705E-2</v>
      </c>
      <c r="BI92" s="572">
        <f>'CT (CTR)'!M48</f>
        <v>0.113166291281125</v>
      </c>
      <c r="BJ92" s="572">
        <f>'CT (CTR)'!N48</f>
        <v>0.108891669361555</v>
      </c>
      <c r="BK92" s="572">
        <f>'CT (CTR)'!O48</f>
        <v>0.188050419398156</v>
      </c>
      <c r="BL92" s="572">
        <f>'CT (CTR)'!P48</f>
        <v>4.94211037421977E-5</v>
      </c>
      <c r="BM92" s="572">
        <f>'CT (CTR)'!Q48</f>
        <v>3.4905294210291801E-2</v>
      </c>
      <c r="BN92" s="572">
        <f>'CT (CTR)'!R48</f>
        <v>5.8806937390628498E-2</v>
      </c>
      <c r="BO92" s="572">
        <f>'CT (CTR)'!S48</f>
        <v>1.18437501355356E-2</v>
      </c>
      <c r="BP92" s="572">
        <f>'CT (CTR)'!T48</f>
        <v>1.6208970978257301E-2</v>
      </c>
      <c r="BQ92" s="572">
        <f>'CT (CTR)'!U48</f>
        <v>0</v>
      </c>
      <c r="BR92" s="572">
        <f>'CT (CTR)'!V48</f>
        <v>0</v>
      </c>
      <c r="BS92" s="572">
        <f>'CT (CTR)'!W48</f>
        <v>0</v>
      </c>
      <c r="BT92" s="572">
        <f>'CT (CTR)'!X48</f>
        <v>0</v>
      </c>
      <c r="BU92" s="572">
        <f>'CT (CTR)'!Y48</f>
        <v>0</v>
      </c>
      <c r="BV92" s="572">
        <f>'CT (CTR)'!Z48</f>
        <v>0</v>
      </c>
      <c r="BW92" s="572">
        <f>'CT (CTR)'!AA48</f>
        <v>0</v>
      </c>
      <c r="BX92" s="572">
        <f>'CT (CTR)'!AB48</f>
        <v>0</v>
      </c>
      <c r="BY92" s="572">
        <f>'CT (CTR)'!AC48</f>
        <v>0</v>
      </c>
      <c r="BZ92" s="572">
        <f>'CT (CTR)'!AD48</f>
        <v>0</v>
      </c>
      <c r="CA92" s="572">
        <f>'CT (CTR)'!AE48</f>
        <v>0</v>
      </c>
    </row>
    <row r="93" spans="1:79" x14ac:dyDescent="0.2">
      <c r="A93" s="689" t="str">
        <f t="shared" si="26"/>
        <v>FORA PONTA</v>
      </c>
      <c r="B93" s="571">
        <f t="shared" si="25"/>
        <v>1.125</v>
      </c>
      <c r="C93" s="566" t="s">
        <v>358</v>
      </c>
      <c r="D93" s="569">
        <v>10</v>
      </c>
      <c r="E93" s="572">
        <f>'CT (CTR)'!G117</f>
        <v>0</v>
      </c>
      <c r="F93" s="572">
        <f>'CT (CTR)'!H117</f>
        <v>0</v>
      </c>
      <c r="G93" s="572">
        <f>'CT (CTR)'!I117</f>
        <v>0</v>
      </c>
      <c r="H93" s="572">
        <f>'CT (CTR)'!J117</f>
        <v>0</v>
      </c>
      <c r="I93" s="572">
        <f>'CT (CTR)'!K117</f>
        <v>0</v>
      </c>
      <c r="J93" s="572">
        <f>'CT (CTR)'!L117</f>
        <v>0</v>
      </c>
      <c r="K93" s="572">
        <f>'CT (CTR)'!M117</f>
        <v>0</v>
      </c>
      <c r="L93" s="572">
        <f>'CT (CTR)'!N117</f>
        <v>0</v>
      </c>
      <c r="M93" s="572">
        <f>'CT (CTR)'!O117</f>
        <v>0</v>
      </c>
      <c r="N93" s="572">
        <f>'CT (CTR)'!P117</f>
        <v>0</v>
      </c>
      <c r="O93" s="572">
        <f>'CT (CTR)'!Q117</f>
        <v>0</v>
      </c>
      <c r="P93" s="572">
        <f>'CT (CTR)'!R117</f>
        <v>0</v>
      </c>
      <c r="Q93" s="572">
        <f>'CT (CTR)'!S117</f>
        <v>0</v>
      </c>
      <c r="R93" s="572">
        <f>'CT (CTR)'!T117</f>
        <v>0</v>
      </c>
      <c r="S93" s="572">
        <f>'CT (CTR)'!U117</f>
        <v>0</v>
      </c>
      <c r="T93" s="572">
        <f>'CT (CTR)'!V117</f>
        <v>0</v>
      </c>
      <c r="U93" s="572">
        <f>'CT (CTR)'!W117</f>
        <v>0</v>
      </c>
      <c r="V93" s="572">
        <f>'CT (CTR)'!X117</f>
        <v>0</v>
      </c>
      <c r="W93" s="572">
        <f>'CT (CTR)'!Y117</f>
        <v>0</v>
      </c>
      <c r="X93" s="572">
        <f>'CT (CTR)'!Z117</f>
        <v>0</v>
      </c>
      <c r="Y93" s="572">
        <f>'CT (CTR)'!AA117</f>
        <v>0</v>
      </c>
      <c r="Z93" s="572">
        <f>'CT (CTR)'!AB117</f>
        <v>0</v>
      </c>
      <c r="AA93" s="572">
        <f>'CT (CTR)'!AC117</f>
        <v>0</v>
      </c>
      <c r="AB93" s="572">
        <f>'CT (CTR)'!AD117</f>
        <v>0</v>
      </c>
      <c r="AC93" s="572">
        <f>'CT (CTR)'!AE117</f>
        <v>0</v>
      </c>
      <c r="AD93" s="572">
        <f>'CT (CTR)'!G83</f>
        <v>0</v>
      </c>
      <c r="AE93" s="572">
        <f>'CT (CTR)'!H83</f>
        <v>0</v>
      </c>
      <c r="AF93" s="572">
        <f>'CT (CTR)'!I83</f>
        <v>0</v>
      </c>
      <c r="AG93" s="572">
        <f>'CT (CTR)'!J83</f>
        <v>0</v>
      </c>
      <c r="AH93" s="572">
        <f>'CT (CTR)'!K83</f>
        <v>0</v>
      </c>
      <c r="AI93" s="572">
        <f>'CT (CTR)'!L83</f>
        <v>0</v>
      </c>
      <c r="AJ93" s="572">
        <f>'CT (CTR)'!M83</f>
        <v>0</v>
      </c>
      <c r="AK93" s="572">
        <f>'CT (CTR)'!N83</f>
        <v>0</v>
      </c>
      <c r="AL93" s="572">
        <f>'CT (CTR)'!O83</f>
        <v>0</v>
      </c>
      <c r="AM93" s="572">
        <f>'CT (CTR)'!P83</f>
        <v>0</v>
      </c>
      <c r="AN93" s="572">
        <f>'CT (CTR)'!Q83</f>
        <v>0</v>
      </c>
      <c r="AO93" s="572">
        <f>'CT (CTR)'!R83</f>
        <v>0</v>
      </c>
      <c r="AP93" s="572">
        <f>'CT (CTR)'!S83</f>
        <v>0</v>
      </c>
      <c r="AQ93" s="572">
        <f>'CT (CTR)'!T83</f>
        <v>0</v>
      </c>
      <c r="AR93" s="572">
        <f>'CT (CTR)'!U83</f>
        <v>0</v>
      </c>
      <c r="AS93" s="572">
        <f>'CT (CTR)'!V83</f>
        <v>0</v>
      </c>
      <c r="AT93" s="572">
        <f>'CT (CTR)'!W83</f>
        <v>0</v>
      </c>
      <c r="AU93" s="572">
        <f>'CT (CTR)'!X83</f>
        <v>0</v>
      </c>
      <c r="AV93" s="572">
        <f>'CT (CTR)'!Y83</f>
        <v>0</v>
      </c>
      <c r="AW93" s="572">
        <f>'CT (CTR)'!Z83</f>
        <v>0</v>
      </c>
      <c r="AX93" s="572">
        <f>'CT (CTR)'!AA83</f>
        <v>0</v>
      </c>
      <c r="AY93" s="572">
        <f>'CT (CTR)'!AB83</f>
        <v>0</v>
      </c>
      <c r="AZ93" s="572">
        <f>'CT (CTR)'!AC83</f>
        <v>0</v>
      </c>
      <c r="BA93" s="572">
        <f>'CT (CTR)'!AD83</f>
        <v>0</v>
      </c>
      <c r="BB93" s="572">
        <f>'CT (CTR)'!AE83</f>
        <v>0</v>
      </c>
      <c r="BC93" s="572">
        <f>'CT (CTR)'!G49</f>
        <v>0.33790927455536701</v>
      </c>
      <c r="BD93" s="572">
        <f>'CT (CTR)'!H49</f>
        <v>0.21602077785453899</v>
      </c>
      <c r="BE93" s="572">
        <f>'CT (CTR)'!I49</f>
        <v>5.6410184060002103E-2</v>
      </c>
      <c r="BF93" s="572">
        <f>'CT (CTR)'!J49</f>
        <v>9.2822714900893999E-2</v>
      </c>
      <c r="BG93" s="572">
        <f>'CT (CTR)'!K49</f>
        <v>0.240498959636744</v>
      </c>
      <c r="BH93" s="572">
        <f>'CT (CTR)'!L49</f>
        <v>6.11625093925501E-2</v>
      </c>
      <c r="BI93" s="572">
        <f>'CT (CTR)'!M49</f>
        <v>0.11020123561437099</v>
      </c>
      <c r="BJ93" s="572">
        <f>'CT (CTR)'!N49</f>
        <v>0.107623284437443</v>
      </c>
      <c r="BK93" s="572">
        <f>'CT (CTR)'!O49</f>
        <v>0.14280037541718699</v>
      </c>
      <c r="BL93" s="572">
        <f>'CT (CTR)'!P49</f>
        <v>4.94211037421977E-5</v>
      </c>
      <c r="BM93" s="572">
        <f>'CT (CTR)'!Q49</f>
        <v>3.5152382182521397E-2</v>
      </c>
      <c r="BN93" s="572">
        <f>'CT (CTR)'!R49</f>
        <v>6.1047201672176303E-2</v>
      </c>
      <c r="BO93" s="572">
        <f>'CT (CTR)'!S49</f>
        <v>1.4240503466161999E-2</v>
      </c>
      <c r="BP93" s="572">
        <f>'CT (CTR)'!T49</f>
        <v>1.9643493792247699E-2</v>
      </c>
      <c r="BQ93" s="572">
        <f>'CT (CTR)'!U49</f>
        <v>0</v>
      </c>
      <c r="BR93" s="572">
        <f>'CT (CTR)'!V49</f>
        <v>0</v>
      </c>
      <c r="BS93" s="572">
        <f>'CT (CTR)'!W49</f>
        <v>0</v>
      </c>
      <c r="BT93" s="572">
        <f>'CT (CTR)'!X49</f>
        <v>0</v>
      </c>
      <c r="BU93" s="572">
        <f>'CT (CTR)'!Y49</f>
        <v>0</v>
      </c>
      <c r="BV93" s="572">
        <f>'CT (CTR)'!Z49</f>
        <v>0</v>
      </c>
      <c r="BW93" s="572">
        <f>'CT (CTR)'!AA49</f>
        <v>0</v>
      </c>
      <c r="BX93" s="572">
        <f>'CT (CTR)'!AB49</f>
        <v>0</v>
      </c>
      <c r="BY93" s="572">
        <f>'CT (CTR)'!AC49</f>
        <v>0</v>
      </c>
      <c r="BZ93" s="572">
        <f>'CT (CTR)'!AD49</f>
        <v>0</v>
      </c>
      <c r="CA93" s="572">
        <f>'CT (CTR)'!AE49</f>
        <v>0</v>
      </c>
    </row>
    <row r="94" spans="1:79" x14ac:dyDescent="0.2">
      <c r="A94" s="689" t="str">
        <f t="shared" si="26"/>
        <v>FORA PONTA</v>
      </c>
      <c r="B94" s="571">
        <f t="shared" si="25"/>
        <v>1.1666666666666667</v>
      </c>
      <c r="C94" s="566" t="s">
        <v>358</v>
      </c>
      <c r="D94" s="569">
        <v>11</v>
      </c>
      <c r="E94" s="572">
        <f>'CT (CTR)'!G118</f>
        <v>0</v>
      </c>
      <c r="F94" s="572">
        <f>'CT (CTR)'!H118</f>
        <v>0</v>
      </c>
      <c r="G94" s="572">
        <f>'CT (CTR)'!I118</f>
        <v>0</v>
      </c>
      <c r="H94" s="572">
        <f>'CT (CTR)'!J118</f>
        <v>0</v>
      </c>
      <c r="I94" s="572">
        <f>'CT (CTR)'!K118</f>
        <v>0</v>
      </c>
      <c r="J94" s="572">
        <f>'CT (CTR)'!L118</f>
        <v>0</v>
      </c>
      <c r="K94" s="572">
        <f>'CT (CTR)'!M118</f>
        <v>0</v>
      </c>
      <c r="L94" s="572">
        <f>'CT (CTR)'!N118</f>
        <v>0</v>
      </c>
      <c r="M94" s="572">
        <f>'CT (CTR)'!O118</f>
        <v>0</v>
      </c>
      <c r="N94" s="572">
        <f>'CT (CTR)'!P118</f>
        <v>0</v>
      </c>
      <c r="O94" s="572">
        <f>'CT (CTR)'!Q118</f>
        <v>0</v>
      </c>
      <c r="P94" s="572">
        <f>'CT (CTR)'!R118</f>
        <v>0</v>
      </c>
      <c r="Q94" s="572">
        <f>'CT (CTR)'!S118</f>
        <v>0</v>
      </c>
      <c r="R94" s="572">
        <f>'CT (CTR)'!T118</f>
        <v>0</v>
      </c>
      <c r="S94" s="572">
        <f>'CT (CTR)'!U118</f>
        <v>0</v>
      </c>
      <c r="T94" s="572">
        <f>'CT (CTR)'!V118</f>
        <v>0</v>
      </c>
      <c r="U94" s="572">
        <f>'CT (CTR)'!W118</f>
        <v>0</v>
      </c>
      <c r="V94" s="572">
        <f>'CT (CTR)'!X118</f>
        <v>0</v>
      </c>
      <c r="W94" s="572">
        <f>'CT (CTR)'!Y118</f>
        <v>0</v>
      </c>
      <c r="X94" s="572">
        <f>'CT (CTR)'!Z118</f>
        <v>0</v>
      </c>
      <c r="Y94" s="572">
        <f>'CT (CTR)'!AA118</f>
        <v>0</v>
      </c>
      <c r="Z94" s="572">
        <f>'CT (CTR)'!AB118</f>
        <v>0</v>
      </c>
      <c r="AA94" s="572">
        <f>'CT (CTR)'!AC118</f>
        <v>0</v>
      </c>
      <c r="AB94" s="572">
        <f>'CT (CTR)'!AD118</f>
        <v>0</v>
      </c>
      <c r="AC94" s="572">
        <f>'CT (CTR)'!AE118</f>
        <v>0</v>
      </c>
      <c r="AD94" s="572">
        <f>'CT (CTR)'!G84</f>
        <v>0</v>
      </c>
      <c r="AE94" s="572">
        <f>'CT (CTR)'!H84</f>
        <v>0</v>
      </c>
      <c r="AF94" s="572">
        <f>'CT (CTR)'!I84</f>
        <v>0</v>
      </c>
      <c r="AG94" s="572">
        <f>'CT (CTR)'!J84</f>
        <v>0</v>
      </c>
      <c r="AH94" s="572">
        <f>'CT (CTR)'!K84</f>
        <v>0</v>
      </c>
      <c r="AI94" s="572">
        <f>'CT (CTR)'!L84</f>
        <v>0</v>
      </c>
      <c r="AJ94" s="572">
        <f>'CT (CTR)'!M84</f>
        <v>0</v>
      </c>
      <c r="AK94" s="572">
        <f>'CT (CTR)'!N84</f>
        <v>0</v>
      </c>
      <c r="AL94" s="572">
        <f>'CT (CTR)'!O84</f>
        <v>0</v>
      </c>
      <c r="AM94" s="572">
        <f>'CT (CTR)'!P84</f>
        <v>0</v>
      </c>
      <c r="AN94" s="572">
        <f>'CT (CTR)'!Q84</f>
        <v>0</v>
      </c>
      <c r="AO94" s="572">
        <f>'CT (CTR)'!R84</f>
        <v>0</v>
      </c>
      <c r="AP94" s="572">
        <f>'CT (CTR)'!S84</f>
        <v>0</v>
      </c>
      <c r="AQ94" s="572">
        <f>'CT (CTR)'!T84</f>
        <v>0</v>
      </c>
      <c r="AR94" s="572">
        <f>'CT (CTR)'!U84</f>
        <v>0</v>
      </c>
      <c r="AS94" s="572">
        <f>'CT (CTR)'!V84</f>
        <v>0</v>
      </c>
      <c r="AT94" s="572">
        <f>'CT (CTR)'!W84</f>
        <v>0</v>
      </c>
      <c r="AU94" s="572">
        <f>'CT (CTR)'!X84</f>
        <v>0</v>
      </c>
      <c r="AV94" s="572">
        <f>'CT (CTR)'!Y84</f>
        <v>0</v>
      </c>
      <c r="AW94" s="572">
        <f>'CT (CTR)'!Z84</f>
        <v>0</v>
      </c>
      <c r="AX94" s="572">
        <f>'CT (CTR)'!AA84</f>
        <v>0</v>
      </c>
      <c r="AY94" s="572">
        <f>'CT (CTR)'!AB84</f>
        <v>0</v>
      </c>
      <c r="AZ94" s="572">
        <f>'CT (CTR)'!AC84</f>
        <v>0</v>
      </c>
      <c r="BA94" s="572">
        <f>'CT (CTR)'!AD84</f>
        <v>0</v>
      </c>
      <c r="BB94" s="572">
        <f>'CT (CTR)'!AE84</f>
        <v>0</v>
      </c>
      <c r="BC94" s="572">
        <f>'CT (CTR)'!G50</f>
        <v>0.33474654851082802</v>
      </c>
      <c r="BD94" s="572">
        <f>'CT (CTR)'!H50</f>
        <v>0.22046012508892901</v>
      </c>
      <c r="BE94" s="572">
        <f>'CT (CTR)'!I50</f>
        <v>5.7250283165582498E-2</v>
      </c>
      <c r="BF94" s="572">
        <f>'CT (CTR)'!J50</f>
        <v>9.5408902343563098E-2</v>
      </c>
      <c r="BG94" s="572">
        <f>'CT (CTR)'!K50</f>
        <v>0.24647848856469901</v>
      </c>
      <c r="BH94" s="572">
        <f>'CT (CTR)'!L50</f>
        <v>5.6088969696103698E-2</v>
      </c>
      <c r="BI94" s="572">
        <f>'CT (CTR)'!M50</f>
        <v>0.110736592887535</v>
      </c>
      <c r="BJ94" s="572">
        <f>'CT (CTR)'!N50</f>
        <v>9.6916138974163402E-2</v>
      </c>
      <c r="BK94" s="572">
        <f>'CT (CTR)'!O50</f>
        <v>0.14532067273392901</v>
      </c>
      <c r="BL94" s="572">
        <f>'CT (CTR)'!P50</f>
        <v>3.2947402494798499E-5</v>
      </c>
      <c r="BM94" s="572">
        <f>'CT (CTR)'!Q50</f>
        <v>3.6107789008475499E-2</v>
      </c>
      <c r="BN94" s="572">
        <f>'CT (CTR)'!R50</f>
        <v>5.5726574003500402E-2</v>
      </c>
      <c r="BO94" s="572">
        <f>'CT (CTR)'!S50</f>
        <v>6.8772818937219607E-2</v>
      </c>
      <c r="BP94" s="572">
        <f>'CT (CTR)'!T50</f>
        <v>3.31344970759802E-2</v>
      </c>
      <c r="BQ94" s="572">
        <f>'CT (CTR)'!U50</f>
        <v>0</v>
      </c>
      <c r="BR94" s="572">
        <f>'CT (CTR)'!V50</f>
        <v>0</v>
      </c>
      <c r="BS94" s="572">
        <f>'CT (CTR)'!W50</f>
        <v>0</v>
      </c>
      <c r="BT94" s="572">
        <f>'CT (CTR)'!X50</f>
        <v>0</v>
      </c>
      <c r="BU94" s="572">
        <f>'CT (CTR)'!Y50</f>
        <v>0</v>
      </c>
      <c r="BV94" s="572">
        <f>'CT (CTR)'!Z50</f>
        <v>0</v>
      </c>
      <c r="BW94" s="572">
        <f>'CT (CTR)'!AA50</f>
        <v>0</v>
      </c>
      <c r="BX94" s="572">
        <f>'CT (CTR)'!AB50</f>
        <v>0</v>
      </c>
      <c r="BY94" s="572">
        <f>'CT (CTR)'!AC50</f>
        <v>0</v>
      </c>
      <c r="BZ94" s="572">
        <f>'CT (CTR)'!AD50</f>
        <v>0</v>
      </c>
      <c r="CA94" s="572">
        <f>'CT (CTR)'!AE50</f>
        <v>0</v>
      </c>
    </row>
    <row r="95" spans="1:79" x14ac:dyDescent="0.2">
      <c r="A95" s="689" t="str">
        <f t="shared" si="26"/>
        <v>FORA PONTA</v>
      </c>
      <c r="B95" s="571">
        <f t="shared" si="25"/>
        <v>1.2083333333333335</v>
      </c>
      <c r="C95" s="566" t="s">
        <v>358</v>
      </c>
      <c r="D95" s="569">
        <v>12</v>
      </c>
      <c r="E95" s="572">
        <f>'CT (CTR)'!G119</f>
        <v>0</v>
      </c>
      <c r="F95" s="572">
        <f>'CT (CTR)'!H119</f>
        <v>0</v>
      </c>
      <c r="G95" s="572">
        <f>'CT (CTR)'!I119</f>
        <v>0</v>
      </c>
      <c r="H95" s="572">
        <f>'CT (CTR)'!J119</f>
        <v>0</v>
      </c>
      <c r="I95" s="572">
        <f>'CT (CTR)'!K119</f>
        <v>0</v>
      </c>
      <c r="J95" s="572">
        <f>'CT (CTR)'!L119</f>
        <v>0</v>
      </c>
      <c r="K95" s="572">
        <f>'CT (CTR)'!M119</f>
        <v>0</v>
      </c>
      <c r="L95" s="572">
        <f>'CT (CTR)'!N119</f>
        <v>0</v>
      </c>
      <c r="M95" s="572">
        <f>'CT (CTR)'!O119</f>
        <v>0</v>
      </c>
      <c r="N95" s="572">
        <f>'CT (CTR)'!P119</f>
        <v>0</v>
      </c>
      <c r="O95" s="572">
        <f>'CT (CTR)'!Q119</f>
        <v>0</v>
      </c>
      <c r="P95" s="572">
        <f>'CT (CTR)'!R119</f>
        <v>0</v>
      </c>
      <c r="Q95" s="572">
        <f>'CT (CTR)'!S119</f>
        <v>0</v>
      </c>
      <c r="R95" s="572">
        <f>'CT (CTR)'!T119</f>
        <v>0</v>
      </c>
      <c r="S95" s="572">
        <f>'CT (CTR)'!U119</f>
        <v>0</v>
      </c>
      <c r="T95" s="572">
        <f>'CT (CTR)'!V119</f>
        <v>0</v>
      </c>
      <c r="U95" s="572">
        <f>'CT (CTR)'!W119</f>
        <v>0</v>
      </c>
      <c r="V95" s="572">
        <f>'CT (CTR)'!X119</f>
        <v>0</v>
      </c>
      <c r="W95" s="572">
        <f>'CT (CTR)'!Y119</f>
        <v>0</v>
      </c>
      <c r="X95" s="572">
        <f>'CT (CTR)'!Z119</f>
        <v>0</v>
      </c>
      <c r="Y95" s="572">
        <f>'CT (CTR)'!AA119</f>
        <v>0</v>
      </c>
      <c r="Z95" s="572">
        <f>'CT (CTR)'!AB119</f>
        <v>0</v>
      </c>
      <c r="AA95" s="572">
        <f>'CT (CTR)'!AC119</f>
        <v>0</v>
      </c>
      <c r="AB95" s="572">
        <f>'CT (CTR)'!AD119</f>
        <v>0</v>
      </c>
      <c r="AC95" s="572">
        <f>'CT (CTR)'!AE119</f>
        <v>0</v>
      </c>
      <c r="AD95" s="572">
        <f>'CT (CTR)'!G85</f>
        <v>0</v>
      </c>
      <c r="AE95" s="572">
        <f>'CT (CTR)'!H85</f>
        <v>0</v>
      </c>
      <c r="AF95" s="572">
        <f>'CT (CTR)'!I85</f>
        <v>0</v>
      </c>
      <c r="AG95" s="572">
        <f>'CT (CTR)'!J85</f>
        <v>0</v>
      </c>
      <c r="AH95" s="572">
        <f>'CT (CTR)'!K85</f>
        <v>0</v>
      </c>
      <c r="AI95" s="572">
        <f>'CT (CTR)'!L85</f>
        <v>0</v>
      </c>
      <c r="AJ95" s="572">
        <f>'CT (CTR)'!M85</f>
        <v>0</v>
      </c>
      <c r="AK95" s="572">
        <f>'CT (CTR)'!N85</f>
        <v>0</v>
      </c>
      <c r="AL95" s="572">
        <f>'CT (CTR)'!O85</f>
        <v>0</v>
      </c>
      <c r="AM95" s="572">
        <f>'CT (CTR)'!P85</f>
        <v>0</v>
      </c>
      <c r="AN95" s="572">
        <f>'CT (CTR)'!Q85</f>
        <v>0</v>
      </c>
      <c r="AO95" s="572">
        <f>'CT (CTR)'!R85</f>
        <v>0</v>
      </c>
      <c r="AP95" s="572">
        <f>'CT (CTR)'!S85</f>
        <v>0</v>
      </c>
      <c r="AQ95" s="572">
        <f>'CT (CTR)'!T85</f>
        <v>0</v>
      </c>
      <c r="AR95" s="572">
        <f>'CT (CTR)'!U85</f>
        <v>0</v>
      </c>
      <c r="AS95" s="572">
        <f>'CT (CTR)'!V85</f>
        <v>0</v>
      </c>
      <c r="AT95" s="572">
        <f>'CT (CTR)'!W85</f>
        <v>0</v>
      </c>
      <c r="AU95" s="572">
        <f>'CT (CTR)'!X85</f>
        <v>0</v>
      </c>
      <c r="AV95" s="572">
        <f>'CT (CTR)'!Y85</f>
        <v>0</v>
      </c>
      <c r="AW95" s="572">
        <f>'CT (CTR)'!Z85</f>
        <v>0</v>
      </c>
      <c r="AX95" s="572">
        <f>'CT (CTR)'!AA85</f>
        <v>0</v>
      </c>
      <c r="AY95" s="572">
        <f>'CT (CTR)'!AB85</f>
        <v>0</v>
      </c>
      <c r="AZ95" s="572">
        <f>'CT (CTR)'!AC85</f>
        <v>0</v>
      </c>
      <c r="BA95" s="572">
        <f>'CT (CTR)'!AD85</f>
        <v>0</v>
      </c>
      <c r="BB95" s="572">
        <f>'CT (CTR)'!AE85</f>
        <v>0</v>
      </c>
      <c r="BC95" s="572">
        <f>'CT (CTR)'!G51</f>
        <v>0.35023072810387901</v>
      </c>
      <c r="BD95" s="572">
        <f>'CT (CTR)'!H51</f>
        <v>0.21653142633048</v>
      </c>
      <c r="BE95" s="572">
        <f>'CT (CTR)'!I51</f>
        <v>5.0974248670952398E-2</v>
      </c>
      <c r="BF95" s="572">
        <f>'CT (CTR)'!J51</f>
        <v>0.19696205892990101</v>
      </c>
      <c r="BG95" s="572">
        <f>'CT (CTR)'!K51</f>
        <v>0.31201445506571202</v>
      </c>
      <c r="BH95" s="572">
        <f>'CT (CTR)'!L51</f>
        <v>7.6794941768938502E-2</v>
      </c>
      <c r="BI95" s="572">
        <f>'CT (CTR)'!M51</f>
        <v>0.119137583943339</v>
      </c>
      <c r="BJ95" s="572">
        <f>'CT (CTR)'!N51</f>
        <v>0.103225118531757</v>
      </c>
      <c r="BK95" s="572">
        <f>'CT (CTR)'!O51</f>
        <v>0.14413465046722701</v>
      </c>
      <c r="BL95" s="572">
        <f>'CT (CTR)'!P51</f>
        <v>4.94211037421977E-5</v>
      </c>
      <c r="BM95" s="572">
        <f>'CT (CTR)'!Q51</f>
        <v>3.55312504066067E-2</v>
      </c>
      <c r="BN95" s="572">
        <f>'CT (CTR)'!R51</f>
        <v>4.47064504420632E-2</v>
      </c>
      <c r="BO95" s="572">
        <f>'CT (CTR)'!S51</f>
        <v>0.11527477531081699</v>
      </c>
      <c r="BP95" s="572">
        <f>'CT (CTR)'!T51</f>
        <v>7.8648101560659905E-2</v>
      </c>
      <c r="BQ95" s="572">
        <f>'CT (CTR)'!U51</f>
        <v>0</v>
      </c>
      <c r="BR95" s="572">
        <f>'CT (CTR)'!V51</f>
        <v>0</v>
      </c>
      <c r="BS95" s="572">
        <f>'CT (CTR)'!W51</f>
        <v>0</v>
      </c>
      <c r="BT95" s="572">
        <f>'CT (CTR)'!X51</f>
        <v>0</v>
      </c>
      <c r="BU95" s="572">
        <f>'CT (CTR)'!Y51</f>
        <v>0</v>
      </c>
      <c r="BV95" s="572">
        <f>'CT (CTR)'!Z51</f>
        <v>0</v>
      </c>
      <c r="BW95" s="572">
        <f>'CT (CTR)'!AA51</f>
        <v>0</v>
      </c>
      <c r="BX95" s="572">
        <f>'CT (CTR)'!AB51</f>
        <v>0</v>
      </c>
      <c r="BY95" s="572">
        <f>'CT (CTR)'!AC51</f>
        <v>0</v>
      </c>
      <c r="BZ95" s="572">
        <f>'CT (CTR)'!AD51</f>
        <v>0</v>
      </c>
      <c r="CA95" s="572">
        <f>'CT (CTR)'!AE51</f>
        <v>0</v>
      </c>
    </row>
    <row r="96" spans="1:79" x14ac:dyDescent="0.2">
      <c r="A96" s="689" t="str">
        <f t="shared" si="26"/>
        <v>FORA PONTA</v>
      </c>
      <c r="B96" s="571">
        <f t="shared" si="25"/>
        <v>1.2500000000000002</v>
      </c>
      <c r="C96" s="566" t="s">
        <v>358</v>
      </c>
      <c r="D96" s="569">
        <v>13</v>
      </c>
      <c r="E96" s="572">
        <f>'CT (CTR)'!G120</f>
        <v>0</v>
      </c>
      <c r="F96" s="572">
        <f>'CT (CTR)'!H120</f>
        <v>0</v>
      </c>
      <c r="G96" s="572">
        <f>'CT (CTR)'!I120</f>
        <v>0</v>
      </c>
      <c r="H96" s="572">
        <f>'CT (CTR)'!J120</f>
        <v>0</v>
      </c>
      <c r="I96" s="572">
        <f>'CT (CTR)'!K120</f>
        <v>0</v>
      </c>
      <c r="J96" s="572">
        <f>'CT (CTR)'!L120</f>
        <v>0</v>
      </c>
      <c r="K96" s="572">
        <f>'CT (CTR)'!M120</f>
        <v>0</v>
      </c>
      <c r="L96" s="572">
        <f>'CT (CTR)'!N120</f>
        <v>0</v>
      </c>
      <c r="M96" s="572">
        <f>'CT (CTR)'!O120</f>
        <v>0</v>
      </c>
      <c r="N96" s="572">
        <f>'CT (CTR)'!P120</f>
        <v>0</v>
      </c>
      <c r="O96" s="572">
        <f>'CT (CTR)'!Q120</f>
        <v>0</v>
      </c>
      <c r="P96" s="572">
        <f>'CT (CTR)'!R120</f>
        <v>0</v>
      </c>
      <c r="Q96" s="572">
        <f>'CT (CTR)'!S120</f>
        <v>0</v>
      </c>
      <c r="R96" s="572">
        <f>'CT (CTR)'!T120</f>
        <v>0</v>
      </c>
      <c r="S96" s="572">
        <f>'CT (CTR)'!U120</f>
        <v>0</v>
      </c>
      <c r="T96" s="572">
        <f>'CT (CTR)'!V120</f>
        <v>0</v>
      </c>
      <c r="U96" s="572">
        <f>'CT (CTR)'!W120</f>
        <v>0</v>
      </c>
      <c r="V96" s="572">
        <f>'CT (CTR)'!X120</f>
        <v>0</v>
      </c>
      <c r="W96" s="572">
        <f>'CT (CTR)'!Y120</f>
        <v>0</v>
      </c>
      <c r="X96" s="572">
        <f>'CT (CTR)'!Z120</f>
        <v>0</v>
      </c>
      <c r="Y96" s="572">
        <f>'CT (CTR)'!AA120</f>
        <v>0</v>
      </c>
      <c r="Z96" s="572">
        <f>'CT (CTR)'!AB120</f>
        <v>0</v>
      </c>
      <c r="AA96" s="572">
        <f>'CT (CTR)'!AC120</f>
        <v>0</v>
      </c>
      <c r="AB96" s="572">
        <f>'CT (CTR)'!AD120</f>
        <v>0</v>
      </c>
      <c r="AC96" s="572">
        <f>'CT (CTR)'!AE120</f>
        <v>0</v>
      </c>
      <c r="AD96" s="572">
        <f>'CT (CTR)'!G86</f>
        <v>0</v>
      </c>
      <c r="AE96" s="572">
        <f>'CT (CTR)'!H86</f>
        <v>0</v>
      </c>
      <c r="AF96" s="572">
        <f>'CT (CTR)'!I86</f>
        <v>0</v>
      </c>
      <c r="AG96" s="572">
        <f>'CT (CTR)'!J86</f>
        <v>0</v>
      </c>
      <c r="AH96" s="572">
        <f>'CT (CTR)'!K86</f>
        <v>0</v>
      </c>
      <c r="AI96" s="572">
        <f>'CT (CTR)'!L86</f>
        <v>0</v>
      </c>
      <c r="AJ96" s="572">
        <f>'CT (CTR)'!M86</f>
        <v>0</v>
      </c>
      <c r="AK96" s="572">
        <f>'CT (CTR)'!N86</f>
        <v>0</v>
      </c>
      <c r="AL96" s="572">
        <f>'CT (CTR)'!O86</f>
        <v>0</v>
      </c>
      <c r="AM96" s="572">
        <f>'CT (CTR)'!P86</f>
        <v>0</v>
      </c>
      <c r="AN96" s="572">
        <f>'CT (CTR)'!Q86</f>
        <v>0</v>
      </c>
      <c r="AO96" s="572">
        <f>'CT (CTR)'!R86</f>
        <v>0</v>
      </c>
      <c r="AP96" s="572">
        <f>'CT (CTR)'!S86</f>
        <v>0</v>
      </c>
      <c r="AQ96" s="572">
        <f>'CT (CTR)'!T86</f>
        <v>0</v>
      </c>
      <c r="AR96" s="572">
        <f>'CT (CTR)'!U86</f>
        <v>0</v>
      </c>
      <c r="AS96" s="572">
        <f>'CT (CTR)'!V86</f>
        <v>0</v>
      </c>
      <c r="AT96" s="572">
        <f>'CT (CTR)'!W86</f>
        <v>0</v>
      </c>
      <c r="AU96" s="572">
        <f>'CT (CTR)'!X86</f>
        <v>0</v>
      </c>
      <c r="AV96" s="572">
        <f>'CT (CTR)'!Y86</f>
        <v>0</v>
      </c>
      <c r="AW96" s="572">
        <f>'CT (CTR)'!Z86</f>
        <v>0</v>
      </c>
      <c r="AX96" s="572">
        <f>'CT (CTR)'!AA86</f>
        <v>0</v>
      </c>
      <c r="AY96" s="572">
        <f>'CT (CTR)'!AB86</f>
        <v>0</v>
      </c>
      <c r="AZ96" s="572">
        <f>'CT (CTR)'!AC86</f>
        <v>0</v>
      </c>
      <c r="BA96" s="572">
        <f>'CT (CTR)'!AD86</f>
        <v>0</v>
      </c>
      <c r="BB96" s="572">
        <f>'CT (CTR)'!AE86</f>
        <v>0</v>
      </c>
      <c r="BC96" s="572">
        <f>'CT (CTR)'!G52</f>
        <v>0.47605615982889798</v>
      </c>
      <c r="BD96" s="572">
        <f>'CT (CTR)'!H52</f>
        <v>0.231562611307776</v>
      </c>
      <c r="BE96" s="572">
        <f>'CT (CTR)'!I52</f>
        <v>5.3519254784916502E-2</v>
      </c>
      <c r="BF96" s="572">
        <f>'CT (CTR)'!J52</f>
        <v>0.26481241610412998</v>
      </c>
      <c r="BG96" s="572">
        <f>'CT (CTR)'!K52</f>
        <v>0.311932092408302</v>
      </c>
      <c r="BH96" s="572">
        <f>'CT (CTR)'!L52</f>
        <v>0.10595132249202301</v>
      </c>
      <c r="BI96" s="572">
        <f>'CT (CTR)'!M52</f>
        <v>0.11479707189784</v>
      </c>
      <c r="BJ96" s="572">
        <f>'CT (CTR)'!N52</f>
        <v>9.4750001084284302E-2</v>
      </c>
      <c r="BK96" s="572">
        <f>'CT (CTR)'!O52</f>
        <v>9.5161814371333697E-2</v>
      </c>
      <c r="BL96" s="572">
        <f>'CT (CTR)'!P52</f>
        <v>4.94211037421977E-5</v>
      </c>
      <c r="BM96" s="572">
        <f>'CT (CTR)'!Q52</f>
        <v>2.82174464286125E-2</v>
      </c>
      <c r="BN96" s="572">
        <f>'CT (CTR)'!R52</f>
        <v>3.2302634236140798E-2</v>
      </c>
      <c r="BO96" s="572">
        <f>'CT (CTR)'!S52</f>
        <v>7.8153925616201006E-2</v>
      </c>
      <c r="BP96" s="572">
        <f>'CT (CTR)'!T52</f>
        <v>3.66843276103445E-2</v>
      </c>
      <c r="BQ96" s="572">
        <f>'CT (CTR)'!U52</f>
        <v>0</v>
      </c>
      <c r="BR96" s="572">
        <f>'CT (CTR)'!V52</f>
        <v>0</v>
      </c>
      <c r="BS96" s="572">
        <f>'CT (CTR)'!W52</f>
        <v>0</v>
      </c>
      <c r="BT96" s="572">
        <f>'CT (CTR)'!X52</f>
        <v>0</v>
      </c>
      <c r="BU96" s="572">
        <f>'CT (CTR)'!Y52</f>
        <v>0</v>
      </c>
      <c r="BV96" s="572">
        <f>'CT (CTR)'!Z52</f>
        <v>0</v>
      </c>
      <c r="BW96" s="572">
        <f>'CT (CTR)'!AA52</f>
        <v>0</v>
      </c>
      <c r="BX96" s="572">
        <f>'CT (CTR)'!AB52</f>
        <v>0</v>
      </c>
      <c r="BY96" s="572">
        <f>'CT (CTR)'!AC52</f>
        <v>0</v>
      </c>
      <c r="BZ96" s="572">
        <f>'CT (CTR)'!AD52</f>
        <v>0</v>
      </c>
      <c r="CA96" s="572">
        <f>'CT (CTR)'!AE52</f>
        <v>0</v>
      </c>
    </row>
    <row r="97" spans="1:79" x14ac:dyDescent="0.2">
      <c r="A97" s="689" t="str">
        <f t="shared" si="26"/>
        <v>FORA PONTA</v>
      </c>
      <c r="B97" s="571">
        <f t="shared" si="25"/>
        <v>1.291666666666667</v>
      </c>
      <c r="C97" s="566" t="s">
        <v>358</v>
      </c>
      <c r="D97" s="569">
        <v>14</v>
      </c>
      <c r="E97" s="572">
        <f>'CT (CTR)'!G121</f>
        <v>0</v>
      </c>
      <c r="F97" s="572">
        <f>'CT (CTR)'!H121</f>
        <v>0</v>
      </c>
      <c r="G97" s="572">
        <f>'CT (CTR)'!I121</f>
        <v>0</v>
      </c>
      <c r="H97" s="572">
        <f>'CT (CTR)'!J121</f>
        <v>0</v>
      </c>
      <c r="I97" s="572">
        <f>'CT (CTR)'!K121</f>
        <v>0</v>
      </c>
      <c r="J97" s="572">
        <f>'CT (CTR)'!L121</f>
        <v>0</v>
      </c>
      <c r="K97" s="572">
        <f>'CT (CTR)'!M121</f>
        <v>0</v>
      </c>
      <c r="L97" s="572">
        <f>'CT (CTR)'!N121</f>
        <v>0</v>
      </c>
      <c r="M97" s="572">
        <f>'CT (CTR)'!O121</f>
        <v>0</v>
      </c>
      <c r="N97" s="572">
        <f>'CT (CTR)'!P121</f>
        <v>0</v>
      </c>
      <c r="O97" s="572">
        <f>'CT (CTR)'!Q121</f>
        <v>0</v>
      </c>
      <c r="P97" s="572">
        <f>'CT (CTR)'!R121</f>
        <v>0</v>
      </c>
      <c r="Q97" s="572">
        <f>'CT (CTR)'!S121</f>
        <v>0</v>
      </c>
      <c r="R97" s="572">
        <f>'CT (CTR)'!T121</f>
        <v>0</v>
      </c>
      <c r="S97" s="572">
        <f>'CT (CTR)'!U121</f>
        <v>0</v>
      </c>
      <c r="T97" s="572">
        <f>'CT (CTR)'!V121</f>
        <v>0</v>
      </c>
      <c r="U97" s="572">
        <f>'CT (CTR)'!W121</f>
        <v>0</v>
      </c>
      <c r="V97" s="572">
        <f>'CT (CTR)'!X121</f>
        <v>0</v>
      </c>
      <c r="W97" s="572">
        <f>'CT (CTR)'!Y121</f>
        <v>0</v>
      </c>
      <c r="X97" s="572">
        <f>'CT (CTR)'!Z121</f>
        <v>0</v>
      </c>
      <c r="Y97" s="572">
        <f>'CT (CTR)'!AA121</f>
        <v>0</v>
      </c>
      <c r="Z97" s="572">
        <f>'CT (CTR)'!AB121</f>
        <v>0</v>
      </c>
      <c r="AA97" s="572">
        <f>'CT (CTR)'!AC121</f>
        <v>0</v>
      </c>
      <c r="AB97" s="572">
        <f>'CT (CTR)'!AD121</f>
        <v>0</v>
      </c>
      <c r="AC97" s="572">
        <f>'CT (CTR)'!AE121</f>
        <v>0</v>
      </c>
      <c r="AD97" s="572">
        <f>'CT (CTR)'!G87</f>
        <v>0</v>
      </c>
      <c r="AE97" s="572">
        <f>'CT (CTR)'!H87</f>
        <v>0</v>
      </c>
      <c r="AF97" s="572">
        <f>'CT (CTR)'!I87</f>
        <v>0</v>
      </c>
      <c r="AG97" s="572">
        <f>'CT (CTR)'!J87</f>
        <v>0</v>
      </c>
      <c r="AH97" s="572">
        <f>'CT (CTR)'!K87</f>
        <v>0</v>
      </c>
      <c r="AI97" s="572">
        <f>'CT (CTR)'!L87</f>
        <v>0</v>
      </c>
      <c r="AJ97" s="572">
        <f>'CT (CTR)'!M87</f>
        <v>0</v>
      </c>
      <c r="AK97" s="572">
        <f>'CT (CTR)'!N87</f>
        <v>0</v>
      </c>
      <c r="AL97" s="572">
        <f>'CT (CTR)'!O87</f>
        <v>0</v>
      </c>
      <c r="AM97" s="572">
        <f>'CT (CTR)'!P87</f>
        <v>0</v>
      </c>
      <c r="AN97" s="572">
        <f>'CT (CTR)'!Q87</f>
        <v>0</v>
      </c>
      <c r="AO97" s="572">
        <f>'CT (CTR)'!R87</f>
        <v>0</v>
      </c>
      <c r="AP97" s="572">
        <f>'CT (CTR)'!S87</f>
        <v>0</v>
      </c>
      <c r="AQ97" s="572">
        <f>'CT (CTR)'!T87</f>
        <v>0</v>
      </c>
      <c r="AR97" s="572">
        <f>'CT (CTR)'!U87</f>
        <v>0</v>
      </c>
      <c r="AS97" s="572">
        <f>'CT (CTR)'!V87</f>
        <v>0</v>
      </c>
      <c r="AT97" s="572">
        <f>'CT (CTR)'!W87</f>
        <v>0</v>
      </c>
      <c r="AU97" s="572">
        <f>'CT (CTR)'!X87</f>
        <v>0</v>
      </c>
      <c r="AV97" s="572">
        <f>'CT (CTR)'!Y87</f>
        <v>0</v>
      </c>
      <c r="AW97" s="572">
        <f>'CT (CTR)'!Z87</f>
        <v>0</v>
      </c>
      <c r="AX97" s="572">
        <f>'CT (CTR)'!AA87</f>
        <v>0</v>
      </c>
      <c r="AY97" s="572">
        <f>'CT (CTR)'!AB87</f>
        <v>0</v>
      </c>
      <c r="AZ97" s="572">
        <f>'CT (CTR)'!AC87</f>
        <v>0</v>
      </c>
      <c r="BA97" s="572">
        <f>'CT (CTR)'!AD87</f>
        <v>0</v>
      </c>
      <c r="BB97" s="572">
        <f>'CT (CTR)'!AE87</f>
        <v>0</v>
      </c>
      <c r="BC97" s="572">
        <f>'CT (CTR)'!G53</f>
        <v>1.0775094655642801</v>
      </c>
      <c r="BD97" s="572">
        <f>'CT (CTR)'!H53</f>
        <v>0.272710994949734</v>
      </c>
      <c r="BE97" s="572">
        <f>'CT (CTR)'!I53</f>
        <v>0.13340279620672399</v>
      </c>
      <c r="BF97" s="572">
        <f>'CT (CTR)'!J53</f>
        <v>0.24763156576843701</v>
      </c>
      <c r="BG97" s="572">
        <f>'CT (CTR)'!K53</f>
        <v>0.37223803016378898</v>
      </c>
      <c r="BH97" s="572">
        <f>'CT (CTR)'!L53</f>
        <v>0.16888462901888501</v>
      </c>
      <c r="BI97" s="572">
        <f>'CT (CTR)'!M53</f>
        <v>0.14181202352826899</v>
      </c>
      <c r="BJ97" s="572">
        <f>'CT (CTR)'!N53</f>
        <v>9.1315478270293807E-2</v>
      </c>
      <c r="BK97" s="572">
        <f>'CT (CTR)'!O53</f>
        <v>6.0684805979573E-2</v>
      </c>
      <c r="BL97" s="572">
        <f>'CT (CTR)'!P53</f>
        <v>4.94211037421977E-5</v>
      </c>
      <c r="BM97" s="572">
        <f>'CT (CTR)'!Q53</f>
        <v>4.5628912205053503E-2</v>
      </c>
      <c r="BN97" s="572">
        <f>'CT (CTR)'!R53</f>
        <v>6.3205103296314194E-2</v>
      </c>
      <c r="BO97" s="572">
        <f>'CT (CTR)'!S53</f>
        <v>1.2741503101302801E-2</v>
      </c>
      <c r="BP97" s="572">
        <f>'CT (CTR)'!T53</f>
        <v>4.2532076286443302E-2</v>
      </c>
      <c r="BQ97" s="572">
        <f>'CT (CTR)'!U53</f>
        <v>0</v>
      </c>
      <c r="BR97" s="572">
        <f>'CT (CTR)'!V53</f>
        <v>0</v>
      </c>
      <c r="BS97" s="572">
        <f>'CT (CTR)'!W53</f>
        <v>0</v>
      </c>
      <c r="BT97" s="572">
        <f>'CT (CTR)'!X53</f>
        <v>0</v>
      </c>
      <c r="BU97" s="572">
        <f>'CT (CTR)'!Y53</f>
        <v>0</v>
      </c>
      <c r="BV97" s="572">
        <f>'CT (CTR)'!Z53</f>
        <v>0</v>
      </c>
      <c r="BW97" s="572">
        <f>'CT (CTR)'!AA53</f>
        <v>0</v>
      </c>
      <c r="BX97" s="572">
        <f>'CT (CTR)'!AB53</f>
        <v>0</v>
      </c>
      <c r="BY97" s="572">
        <f>'CT (CTR)'!AC53</f>
        <v>0</v>
      </c>
      <c r="BZ97" s="572">
        <f>'CT (CTR)'!AD53</f>
        <v>0</v>
      </c>
      <c r="CA97" s="572">
        <f>'CT (CTR)'!AE53</f>
        <v>0</v>
      </c>
    </row>
    <row r="98" spans="1:79" x14ac:dyDescent="0.2">
      <c r="A98" s="689" t="str">
        <f t="shared" si="26"/>
        <v>FORA PONTA</v>
      </c>
      <c r="B98" s="571">
        <f t="shared" si="25"/>
        <v>1.3333333333333337</v>
      </c>
      <c r="C98" s="566" t="s">
        <v>358</v>
      </c>
      <c r="D98" s="569">
        <v>15</v>
      </c>
      <c r="E98" s="572">
        <f>'CT (CTR)'!G122</f>
        <v>0</v>
      </c>
      <c r="F98" s="572">
        <f>'CT (CTR)'!H122</f>
        <v>0</v>
      </c>
      <c r="G98" s="572">
        <f>'CT (CTR)'!I122</f>
        <v>0</v>
      </c>
      <c r="H98" s="572">
        <f>'CT (CTR)'!J122</f>
        <v>0</v>
      </c>
      <c r="I98" s="572">
        <f>'CT (CTR)'!K122</f>
        <v>0</v>
      </c>
      <c r="J98" s="572">
        <f>'CT (CTR)'!L122</f>
        <v>0</v>
      </c>
      <c r="K98" s="572">
        <f>'CT (CTR)'!M122</f>
        <v>0</v>
      </c>
      <c r="L98" s="572">
        <f>'CT (CTR)'!N122</f>
        <v>0</v>
      </c>
      <c r="M98" s="572">
        <f>'CT (CTR)'!O122</f>
        <v>0</v>
      </c>
      <c r="N98" s="572">
        <f>'CT (CTR)'!P122</f>
        <v>0</v>
      </c>
      <c r="O98" s="572">
        <f>'CT (CTR)'!Q122</f>
        <v>0</v>
      </c>
      <c r="P98" s="572">
        <f>'CT (CTR)'!R122</f>
        <v>0</v>
      </c>
      <c r="Q98" s="572">
        <f>'CT (CTR)'!S122</f>
        <v>0</v>
      </c>
      <c r="R98" s="572">
        <f>'CT (CTR)'!T122</f>
        <v>0</v>
      </c>
      <c r="S98" s="572">
        <f>'CT (CTR)'!U122</f>
        <v>0</v>
      </c>
      <c r="T98" s="572">
        <f>'CT (CTR)'!V122</f>
        <v>0</v>
      </c>
      <c r="U98" s="572">
        <f>'CT (CTR)'!W122</f>
        <v>0</v>
      </c>
      <c r="V98" s="572">
        <f>'CT (CTR)'!X122</f>
        <v>0</v>
      </c>
      <c r="W98" s="572">
        <f>'CT (CTR)'!Y122</f>
        <v>0</v>
      </c>
      <c r="X98" s="572">
        <f>'CT (CTR)'!Z122</f>
        <v>0</v>
      </c>
      <c r="Y98" s="572">
        <f>'CT (CTR)'!AA122</f>
        <v>0</v>
      </c>
      <c r="Z98" s="572">
        <f>'CT (CTR)'!AB122</f>
        <v>0</v>
      </c>
      <c r="AA98" s="572">
        <f>'CT (CTR)'!AC122</f>
        <v>0</v>
      </c>
      <c r="AB98" s="572">
        <f>'CT (CTR)'!AD122</f>
        <v>0</v>
      </c>
      <c r="AC98" s="572">
        <f>'CT (CTR)'!AE122</f>
        <v>0</v>
      </c>
      <c r="AD98" s="572">
        <f>'CT (CTR)'!G88</f>
        <v>0</v>
      </c>
      <c r="AE98" s="572">
        <f>'CT (CTR)'!H88</f>
        <v>0</v>
      </c>
      <c r="AF98" s="572">
        <f>'CT (CTR)'!I88</f>
        <v>0</v>
      </c>
      <c r="AG98" s="572">
        <f>'CT (CTR)'!J88</f>
        <v>0</v>
      </c>
      <c r="AH98" s="572">
        <f>'CT (CTR)'!K88</f>
        <v>0</v>
      </c>
      <c r="AI98" s="572">
        <f>'CT (CTR)'!L88</f>
        <v>0</v>
      </c>
      <c r="AJ98" s="572">
        <f>'CT (CTR)'!M88</f>
        <v>0</v>
      </c>
      <c r="AK98" s="572">
        <f>'CT (CTR)'!N88</f>
        <v>0</v>
      </c>
      <c r="AL98" s="572">
        <f>'CT (CTR)'!O88</f>
        <v>0</v>
      </c>
      <c r="AM98" s="572">
        <f>'CT (CTR)'!P88</f>
        <v>0</v>
      </c>
      <c r="AN98" s="572">
        <f>'CT (CTR)'!Q88</f>
        <v>0</v>
      </c>
      <c r="AO98" s="572">
        <f>'CT (CTR)'!R88</f>
        <v>0</v>
      </c>
      <c r="AP98" s="572">
        <f>'CT (CTR)'!S88</f>
        <v>0</v>
      </c>
      <c r="AQ98" s="572">
        <f>'CT (CTR)'!T88</f>
        <v>0</v>
      </c>
      <c r="AR98" s="572">
        <f>'CT (CTR)'!U88</f>
        <v>0</v>
      </c>
      <c r="AS98" s="572">
        <f>'CT (CTR)'!V88</f>
        <v>0</v>
      </c>
      <c r="AT98" s="572">
        <f>'CT (CTR)'!W88</f>
        <v>0</v>
      </c>
      <c r="AU98" s="572">
        <f>'CT (CTR)'!X88</f>
        <v>0</v>
      </c>
      <c r="AV98" s="572">
        <f>'CT (CTR)'!Y88</f>
        <v>0</v>
      </c>
      <c r="AW98" s="572">
        <f>'CT (CTR)'!Z88</f>
        <v>0</v>
      </c>
      <c r="AX98" s="572">
        <f>'CT (CTR)'!AA88</f>
        <v>0</v>
      </c>
      <c r="AY98" s="572">
        <f>'CT (CTR)'!AB88</f>
        <v>0</v>
      </c>
      <c r="AZ98" s="572">
        <f>'CT (CTR)'!AC88</f>
        <v>0</v>
      </c>
      <c r="BA98" s="572">
        <f>'CT (CTR)'!AD88</f>
        <v>0</v>
      </c>
      <c r="BB98" s="572">
        <f>'CT (CTR)'!AE88</f>
        <v>0</v>
      </c>
      <c r="BC98" s="572">
        <f>'CT (CTR)'!G54</f>
        <v>1.90186906731367</v>
      </c>
      <c r="BD98" s="572">
        <f>'CT (CTR)'!H54</f>
        <v>0.421976838973594</v>
      </c>
      <c r="BE98" s="572">
        <f>'CT (CTR)'!I54</f>
        <v>0.29760099001898899</v>
      </c>
      <c r="BF98" s="572">
        <f>'CT (CTR)'!J54</f>
        <v>0.281153167334243</v>
      </c>
      <c r="BG98" s="572">
        <f>'CT (CTR)'!K54</f>
        <v>0.360962582364382</v>
      </c>
      <c r="BH98" s="572">
        <f>'CT (CTR)'!L54</f>
        <v>0.216778514302709</v>
      </c>
      <c r="BI98" s="572">
        <f>'CT (CTR)'!M54</f>
        <v>0.14734679410620999</v>
      </c>
      <c r="BJ98" s="572">
        <f>'CT (CTR)'!N54</f>
        <v>0.11893167729981501</v>
      </c>
      <c r="BK98" s="572">
        <f>'CT (CTR)'!O54</f>
        <v>3.2047309998170299E-2</v>
      </c>
      <c r="BL98" s="572">
        <f>'CT (CTR)'!P54</f>
        <v>9.4601750640477406E-2</v>
      </c>
      <c r="BM98" s="572">
        <f>'CT (CTR)'!Q54</f>
        <v>8.9643516324873995E-2</v>
      </c>
      <c r="BN98" s="572">
        <f>'CT (CTR)'!R54</f>
        <v>8.4866482195103093E-2</v>
      </c>
      <c r="BO98" s="572">
        <f>'CT (CTR)'!S54</f>
        <v>1.37792725846669E-2</v>
      </c>
      <c r="BP98" s="572">
        <f>'CT (CTR)'!T54</f>
        <v>2.6331341573927001E-2</v>
      </c>
      <c r="BQ98" s="572">
        <f>'CT (CTR)'!U54</f>
        <v>0</v>
      </c>
      <c r="BR98" s="572">
        <f>'CT (CTR)'!V54</f>
        <v>0</v>
      </c>
      <c r="BS98" s="572">
        <f>'CT (CTR)'!W54</f>
        <v>0</v>
      </c>
      <c r="BT98" s="572">
        <f>'CT (CTR)'!X54</f>
        <v>0</v>
      </c>
      <c r="BU98" s="572">
        <f>'CT (CTR)'!Y54</f>
        <v>0</v>
      </c>
      <c r="BV98" s="572">
        <f>'CT (CTR)'!Z54</f>
        <v>0</v>
      </c>
      <c r="BW98" s="572">
        <f>'CT (CTR)'!AA54</f>
        <v>0</v>
      </c>
      <c r="BX98" s="572">
        <f>'CT (CTR)'!AB54</f>
        <v>0</v>
      </c>
      <c r="BY98" s="572">
        <f>'CT (CTR)'!AC54</f>
        <v>0</v>
      </c>
      <c r="BZ98" s="572">
        <f>'CT (CTR)'!AD54</f>
        <v>0</v>
      </c>
      <c r="CA98" s="572">
        <f>'CT (CTR)'!AE54</f>
        <v>0</v>
      </c>
    </row>
    <row r="99" spans="1:79" x14ac:dyDescent="0.2">
      <c r="A99" s="689" t="str">
        <f t="shared" si="26"/>
        <v>FORA PONTA</v>
      </c>
      <c r="B99" s="571">
        <f t="shared" si="25"/>
        <v>1.3750000000000004</v>
      </c>
      <c r="C99" s="566" t="s">
        <v>358</v>
      </c>
      <c r="D99" s="569">
        <v>16</v>
      </c>
      <c r="E99" s="572">
        <f>'CT (CTR)'!G123</f>
        <v>0</v>
      </c>
      <c r="F99" s="572">
        <f>'CT (CTR)'!H123</f>
        <v>0</v>
      </c>
      <c r="G99" s="572">
        <f>'CT (CTR)'!I123</f>
        <v>0</v>
      </c>
      <c r="H99" s="572">
        <f>'CT (CTR)'!J123</f>
        <v>0</v>
      </c>
      <c r="I99" s="572">
        <f>'CT (CTR)'!K123</f>
        <v>0</v>
      </c>
      <c r="J99" s="572">
        <f>'CT (CTR)'!L123</f>
        <v>0</v>
      </c>
      <c r="K99" s="572">
        <f>'CT (CTR)'!M123</f>
        <v>0</v>
      </c>
      <c r="L99" s="572">
        <f>'CT (CTR)'!N123</f>
        <v>0</v>
      </c>
      <c r="M99" s="572">
        <f>'CT (CTR)'!O123</f>
        <v>0</v>
      </c>
      <c r="N99" s="572">
        <f>'CT (CTR)'!P123</f>
        <v>0</v>
      </c>
      <c r="O99" s="572">
        <f>'CT (CTR)'!Q123</f>
        <v>0</v>
      </c>
      <c r="P99" s="572">
        <f>'CT (CTR)'!R123</f>
        <v>0</v>
      </c>
      <c r="Q99" s="572">
        <f>'CT (CTR)'!S123</f>
        <v>0</v>
      </c>
      <c r="R99" s="572">
        <f>'CT (CTR)'!T123</f>
        <v>0</v>
      </c>
      <c r="S99" s="572">
        <f>'CT (CTR)'!U123</f>
        <v>0</v>
      </c>
      <c r="T99" s="572">
        <f>'CT (CTR)'!V123</f>
        <v>0</v>
      </c>
      <c r="U99" s="572">
        <f>'CT (CTR)'!W123</f>
        <v>0</v>
      </c>
      <c r="V99" s="572">
        <f>'CT (CTR)'!X123</f>
        <v>0</v>
      </c>
      <c r="W99" s="572">
        <f>'CT (CTR)'!Y123</f>
        <v>0</v>
      </c>
      <c r="X99" s="572">
        <f>'CT (CTR)'!Z123</f>
        <v>0</v>
      </c>
      <c r="Y99" s="572">
        <f>'CT (CTR)'!AA123</f>
        <v>0</v>
      </c>
      <c r="Z99" s="572">
        <f>'CT (CTR)'!AB123</f>
        <v>0</v>
      </c>
      <c r="AA99" s="572">
        <f>'CT (CTR)'!AC123</f>
        <v>0</v>
      </c>
      <c r="AB99" s="572">
        <f>'CT (CTR)'!AD123</f>
        <v>0</v>
      </c>
      <c r="AC99" s="572">
        <f>'CT (CTR)'!AE123</f>
        <v>0</v>
      </c>
      <c r="AD99" s="572">
        <f>'CT (CTR)'!G89</f>
        <v>0</v>
      </c>
      <c r="AE99" s="572">
        <f>'CT (CTR)'!H89</f>
        <v>0</v>
      </c>
      <c r="AF99" s="572">
        <f>'CT (CTR)'!I89</f>
        <v>0</v>
      </c>
      <c r="AG99" s="572">
        <f>'CT (CTR)'!J89</f>
        <v>0</v>
      </c>
      <c r="AH99" s="572">
        <f>'CT (CTR)'!K89</f>
        <v>0</v>
      </c>
      <c r="AI99" s="572">
        <f>'CT (CTR)'!L89</f>
        <v>0</v>
      </c>
      <c r="AJ99" s="572">
        <f>'CT (CTR)'!M89</f>
        <v>0</v>
      </c>
      <c r="AK99" s="572">
        <f>'CT (CTR)'!N89</f>
        <v>0</v>
      </c>
      <c r="AL99" s="572">
        <f>'CT (CTR)'!O89</f>
        <v>0</v>
      </c>
      <c r="AM99" s="572">
        <f>'CT (CTR)'!P89</f>
        <v>0</v>
      </c>
      <c r="AN99" s="572">
        <f>'CT (CTR)'!Q89</f>
        <v>0</v>
      </c>
      <c r="AO99" s="572">
        <f>'CT (CTR)'!R89</f>
        <v>0</v>
      </c>
      <c r="AP99" s="572">
        <f>'CT (CTR)'!S89</f>
        <v>0</v>
      </c>
      <c r="AQ99" s="572">
        <f>'CT (CTR)'!T89</f>
        <v>0</v>
      </c>
      <c r="AR99" s="572">
        <f>'CT (CTR)'!U89</f>
        <v>0</v>
      </c>
      <c r="AS99" s="572">
        <f>'CT (CTR)'!V89</f>
        <v>0</v>
      </c>
      <c r="AT99" s="572">
        <f>'CT (CTR)'!W89</f>
        <v>0</v>
      </c>
      <c r="AU99" s="572">
        <f>'CT (CTR)'!X89</f>
        <v>0</v>
      </c>
      <c r="AV99" s="572">
        <f>'CT (CTR)'!Y89</f>
        <v>0</v>
      </c>
      <c r="AW99" s="572">
        <f>'CT (CTR)'!Z89</f>
        <v>0</v>
      </c>
      <c r="AX99" s="572">
        <f>'CT (CTR)'!AA89</f>
        <v>0</v>
      </c>
      <c r="AY99" s="572">
        <f>'CT (CTR)'!AB89</f>
        <v>0</v>
      </c>
      <c r="AZ99" s="572">
        <f>'CT (CTR)'!AC89</f>
        <v>0</v>
      </c>
      <c r="BA99" s="572">
        <f>'CT (CTR)'!AD89</f>
        <v>0</v>
      </c>
      <c r="BB99" s="572">
        <f>'CT (CTR)'!AE89</f>
        <v>0</v>
      </c>
      <c r="BC99" s="572">
        <f>'CT (CTR)'!G55</f>
        <v>1.9861260658439399</v>
      </c>
      <c r="BD99" s="572">
        <f>'CT (CTR)'!H55</f>
        <v>0.45590201756070903</v>
      </c>
      <c r="BE99" s="572">
        <f>'CT (CTR)'!I55</f>
        <v>0.62615386669259698</v>
      </c>
      <c r="BF99" s="572">
        <f>'CT (CTR)'!J55</f>
        <v>0.32753981598746701</v>
      </c>
      <c r="BG99" s="572">
        <f>'CT (CTR)'!K55</f>
        <v>0.28449709122508299</v>
      </c>
      <c r="BH99" s="572">
        <f>'CT (CTR)'!L55</f>
        <v>0.222255631020464</v>
      </c>
      <c r="BI99" s="572">
        <f>'CT (CTR)'!M55</f>
        <v>0.138797550267069</v>
      </c>
      <c r="BJ99" s="572">
        <f>'CT (CTR)'!N55</f>
        <v>0.119170529006303</v>
      </c>
      <c r="BK99" s="572">
        <f>'CT (CTR)'!O55</f>
        <v>1.1604898429047E-2</v>
      </c>
      <c r="BL99" s="572">
        <f>'CT (CTR)'!P55</f>
        <v>0.24079546520341899</v>
      </c>
      <c r="BM99" s="572">
        <f>'CT (CTR)'!Q55</f>
        <v>9.7451496247327102E-2</v>
      </c>
      <c r="BN99" s="572">
        <f>'CT (CTR)'!R55</f>
        <v>9.6990265365832107E-2</v>
      </c>
      <c r="BO99" s="572">
        <f>'CT (CTR)'!S55</f>
        <v>4.1535488131784301E-2</v>
      </c>
      <c r="BP99" s="572">
        <f>'CT (CTR)'!T55</f>
        <v>2.6364286636890999E-2</v>
      </c>
      <c r="BQ99" s="572">
        <f>'CT (CTR)'!U55</f>
        <v>0</v>
      </c>
      <c r="BR99" s="572">
        <f>'CT (CTR)'!V55</f>
        <v>0</v>
      </c>
      <c r="BS99" s="572">
        <f>'CT (CTR)'!W55</f>
        <v>0</v>
      </c>
      <c r="BT99" s="572">
        <f>'CT (CTR)'!X55</f>
        <v>0</v>
      </c>
      <c r="BU99" s="572">
        <f>'CT (CTR)'!Y55</f>
        <v>0</v>
      </c>
      <c r="BV99" s="572">
        <f>'CT (CTR)'!Z55</f>
        <v>0</v>
      </c>
      <c r="BW99" s="572">
        <f>'CT (CTR)'!AA55</f>
        <v>0</v>
      </c>
      <c r="BX99" s="572">
        <f>'CT (CTR)'!AB55</f>
        <v>0</v>
      </c>
      <c r="BY99" s="572">
        <f>'CT (CTR)'!AC55</f>
        <v>0</v>
      </c>
      <c r="BZ99" s="572">
        <f>'CT (CTR)'!AD55</f>
        <v>0</v>
      </c>
      <c r="CA99" s="572">
        <f>'CT (CTR)'!AE55</f>
        <v>0</v>
      </c>
    </row>
    <row r="100" spans="1:79" x14ac:dyDescent="0.2">
      <c r="A100" s="689" t="str">
        <f t="shared" si="26"/>
        <v>FORA PONTA</v>
      </c>
      <c r="B100" s="571">
        <f t="shared" si="25"/>
        <v>1.4166666666666672</v>
      </c>
      <c r="C100" s="566" t="s">
        <v>358</v>
      </c>
      <c r="D100" s="569">
        <v>17</v>
      </c>
      <c r="E100" s="572">
        <f>'CT (CTR)'!G124</f>
        <v>0</v>
      </c>
      <c r="F100" s="572">
        <f>'CT (CTR)'!H124</f>
        <v>0</v>
      </c>
      <c r="G100" s="572">
        <f>'CT (CTR)'!I124</f>
        <v>0</v>
      </c>
      <c r="H100" s="572">
        <f>'CT (CTR)'!J124</f>
        <v>0</v>
      </c>
      <c r="I100" s="572">
        <f>'CT (CTR)'!K124</f>
        <v>0</v>
      </c>
      <c r="J100" s="572">
        <f>'CT (CTR)'!L124</f>
        <v>0</v>
      </c>
      <c r="K100" s="572">
        <f>'CT (CTR)'!M124</f>
        <v>0</v>
      </c>
      <c r="L100" s="572">
        <f>'CT (CTR)'!N124</f>
        <v>0</v>
      </c>
      <c r="M100" s="572">
        <f>'CT (CTR)'!O124</f>
        <v>0</v>
      </c>
      <c r="N100" s="572">
        <f>'CT (CTR)'!P124</f>
        <v>0</v>
      </c>
      <c r="O100" s="572">
        <f>'CT (CTR)'!Q124</f>
        <v>0</v>
      </c>
      <c r="P100" s="572">
        <f>'CT (CTR)'!R124</f>
        <v>0</v>
      </c>
      <c r="Q100" s="572">
        <f>'CT (CTR)'!S124</f>
        <v>0</v>
      </c>
      <c r="R100" s="572">
        <f>'CT (CTR)'!T124</f>
        <v>0</v>
      </c>
      <c r="S100" s="572">
        <f>'CT (CTR)'!U124</f>
        <v>0</v>
      </c>
      <c r="T100" s="572">
        <f>'CT (CTR)'!V124</f>
        <v>0</v>
      </c>
      <c r="U100" s="572">
        <f>'CT (CTR)'!W124</f>
        <v>0</v>
      </c>
      <c r="V100" s="572">
        <f>'CT (CTR)'!X124</f>
        <v>0</v>
      </c>
      <c r="W100" s="572">
        <f>'CT (CTR)'!Y124</f>
        <v>0</v>
      </c>
      <c r="X100" s="572">
        <f>'CT (CTR)'!Z124</f>
        <v>0</v>
      </c>
      <c r="Y100" s="572">
        <f>'CT (CTR)'!AA124</f>
        <v>0</v>
      </c>
      <c r="Z100" s="572">
        <f>'CT (CTR)'!AB124</f>
        <v>0</v>
      </c>
      <c r="AA100" s="572">
        <f>'CT (CTR)'!AC124</f>
        <v>0</v>
      </c>
      <c r="AB100" s="572">
        <f>'CT (CTR)'!AD124</f>
        <v>0</v>
      </c>
      <c r="AC100" s="572">
        <f>'CT (CTR)'!AE124</f>
        <v>0</v>
      </c>
      <c r="AD100" s="572">
        <f>'CT (CTR)'!G90</f>
        <v>0</v>
      </c>
      <c r="AE100" s="572">
        <f>'CT (CTR)'!H90</f>
        <v>0</v>
      </c>
      <c r="AF100" s="572">
        <f>'CT (CTR)'!I90</f>
        <v>0</v>
      </c>
      <c r="AG100" s="572">
        <f>'CT (CTR)'!J90</f>
        <v>0</v>
      </c>
      <c r="AH100" s="572">
        <f>'CT (CTR)'!K90</f>
        <v>0</v>
      </c>
      <c r="AI100" s="572">
        <f>'CT (CTR)'!L90</f>
        <v>0</v>
      </c>
      <c r="AJ100" s="572">
        <f>'CT (CTR)'!M90</f>
        <v>0</v>
      </c>
      <c r="AK100" s="572">
        <f>'CT (CTR)'!N90</f>
        <v>0</v>
      </c>
      <c r="AL100" s="572">
        <f>'CT (CTR)'!O90</f>
        <v>0</v>
      </c>
      <c r="AM100" s="572">
        <f>'CT (CTR)'!P90</f>
        <v>0</v>
      </c>
      <c r="AN100" s="572">
        <f>'CT (CTR)'!Q90</f>
        <v>0</v>
      </c>
      <c r="AO100" s="572">
        <f>'CT (CTR)'!R90</f>
        <v>0</v>
      </c>
      <c r="AP100" s="572">
        <f>'CT (CTR)'!S90</f>
        <v>0</v>
      </c>
      <c r="AQ100" s="572">
        <f>'CT (CTR)'!T90</f>
        <v>0</v>
      </c>
      <c r="AR100" s="572">
        <f>'CT (CTR)'!U90</f>
        <v>0</v>
      </c>
      <c r="AS100" s="572">
        <f>'CT (CTR)'!V90</f>
        <v>0</v>
      </c>
      <c r="AT100" s="572">
        <f>'CT (CTR)'!W90</f>
        <v>0</v>
      </c>
      <c r="AU100" s="572">
        <f>'CT (CTR)'!X90</f>
        <v>0</v>
      </c>
      <c r="AV100" s="572">
        <f>'CT (CTR)'!Y90</f>
        <v>0</v>
      </c>
      <c r="AW100" s="572">
        <f>'CT (CTR)'!Z90</f>
        <v>0</v>
      </c>
      <c r="AX100" s="572">
        <f>'CT (CTR)'!AA90</f>
        <v>0</v>
      </c>
      <c r="AY100" s="572">
        <f>'CT (CTR)'!AB90</f>
        <v>0</v>
      </c>
      <c r="AZ100" s="572">
        <f>'CT (CTR)'!AC90</f>
        <v>0</v>
      </c>
      <c r="BA100" s="572">
        <f>'CT (CTR)'!AD90</f>
        <v>0</v>
      </c>
      <c r="BB100" s="572">
        <f>'CT (CTR)'!AE90</f>
        <v>0</v>
      </c>
      <c r="BC100" s="572">
        <f>'CT (CTR)'!G56</f>
        <v>2.1805431186598798</v>
      </c>
      <c r="BD100" s="572">
        <f>'CT (CTR)'!H56</f>
        <v>0.50746104109927104</v>
      </c>
      <c r="BE100" s="572">
        <f>'CT (CTR)'!I56</f>
        <v>1.03144403127496</v>
      </c>
      <c r="BF100" s="572">
        <f>'CT (CTR)'!J56</f>
        <v>0.330389563933848</v>
      </c>
      <c r="BG100" s="572">
        <f>'CT (CTR)'!K56</f>
        <v>0.229067022788258</v>
      </c>
      <c r="BH100" s="572">
        <f>'CT (CTR)'!L56</f>
        <v>0.21308866725074799</v>
      </c>
      <c r="BI100" s="572">
        <f>'CT (CTR)'!M56</f>
        <v>0.15055070147945401</v>
      </c>
      <c r="BJ100" s="572">
        <f>'CT (CTR)'!N56</f>
        <v>0.117737418767372</v>
      </c>
      <c r="BK100" s="572">
        <f>'CT (CTR)'!O56</f>
        <v>5.1888474168201599E-4</v>
      </c>
      <c r="BL100" s="572">
        <f>'CT (CTR)'!P56</f>
        <v>0.25286983077970199</v>
      </c>
      <c r="BM100" s="572">
        <f>'CT (CTR)'!Q56</f>
        <v>9.8406903073281399E-2</v>
      </c>
      <c r="BN100" s="572">
        <f>'CT (CTR)'!R56</f>
        <v>8.1226052737587998E-2</v>
      </c>
      <c r="BO100" s="572">
        <f>'CT (CTR)'!S56</f>
        <v>0.13694439047534801</v>
      </c>
      <c r="BP100" s="572">
        <f>'CT (CTR)'!T56</f>
        <v>3.8257454366872501E-2</v>
      </c>
      <c r="BQ100" s="572">
        <f>'CT (CTR)'!U56</f>
        <v>0</v>
      </c>
      <c r="BR100" s="572">
        <f>'CT (CTR)'!V56</f>
        <v>0</v>
      </c>
      <c r="BS100" s="572">
        <f>'CT (CTR)'!W56</f>
        <v>0</v>
      </c>
      <c r="BT100" s="572">
        <f>'CT (CTR)'!X56</f>
        <v>0</v>
      </c>
      <c r="BU100" s="572">
        <f>'CT (CTR)'!Y56</f>
        <v>0</v>
      </c>
      <c r="BV100" s="572">
        <f>'CT (CTR)'!Z56</f>
        <v>0</v>
      </c>
      <c r="BW100" s="572">
        <f>'CT (CTR)'!AA56</f>
        <v>0</v>
      </c>
      <c r="BX100" s="572">
        <f>'CT (CTR)'!AB56</f>
        <v>0</v>
      </c>
      <c r="BY100" s="572">
        <f>'CT (CTR)'!AC56</f>
        <v>0</v>
      </c>
      <c r="BZ100" s="572">
        <f>'CT (CTR)'!AD56</f>
        <v>0</v>
      </c>
      <c r="CA100" s="572">
        <f>'CT (CTR)'!AE56</f>
        <v>0</v>
      </c>
    </row>
    <row r="101" spans="1:79" x14ac:dyDescent="0.2">
      <c r="A101" s="689" t="str">
        <f t="shared" si="26"/>
        <v>FORA PONTA</v>
      </c>
      <c r="B101" s="571">
        <f t="shared" si="25"/>
        <v>1.4583333333333339</v>
      </c>
      <c r="C101" s="566" t="s">
        <v>358</v>
      </c>
      <c r="D101" s="569">
        <v>18</v>
      </c>
      <c r="E101" s="572">
        <f>'CT (CTR)'!G125</f>
        <v>0</v>
      </c>
      <c r="F101" s="572">
        <f>'CT (CTR)'!H125</f>
        <v>0</v>
      </c>
      <c r="G101" s="572">
        <f>'CT (CTR)'!I125</f>
        <v>0</v>
      </c>
      <c r="H101" s="572">
        <f>'CT (CTR)'!J125</f>
        <v>0</v>
      </c>
      <c r="I101" s="572">
        <f>'CT (CTR)'!K125</f>
        <v>0</v>
      </c>
      <c r="J101" s="572">
        <f>'CT (CTR)'!L125</f>
        <v>0</v>
      </c>
      <c r="K101" s="572">
        <f>'CT (CTR)'!M125</f>
        <v>0</v>
      </c>
      <c r="L101" s="572">
        <f>'CT (CTR)'!N125</f>
        <v>0</v>
      </c>
      <c r="M101" s="572">
        <f>'CT (CTR)'!O125</f>
        <v>0</v>
      </c>
      <c r="N101" s="572">
        <f>'CT (CTR)'!P125</f>
        <v>0</v>
      </c>
      <c r="O101" s="572">
        <f>'CT (CTR)'!Q125</f>
        <v>0</v>
      </c>
      <c r="P101" s="572">
        <f>'CT (CTR)'!R125</f>
        <v>0</v>
      </c>
      <c r="Q101" s="572">
        <f>'CT (CTR)'!S125</f>
        <v>0</v>
      </c>
      <c r="R101" s="572">
        <f>'CT (CTR)'!T125</f>
        <v>0</v>
      </c>
      <c r="S101" s="572">
        <f>'CT (CTR)'!U125</f>
        <v>0</v>
      </c>
      <c r="T101" s="572">
        <f>'CT (CTR)'!V125</f>
        <v>0</v>
      </c>
      <c r="U101" s="572">
        <f>'CT (CTR)'!W125</f>
        <v>0</v>
      </c>
      <c r="V101" s="572">
        <f>'CT (CTR)'!X125</f>
        <v>0</v>
      </c>
      <c r="W101" s="572">
        <f>'CT (CTR)'!Y125</f>
        <v>0</v>
      </c>
      <c r="X101" s="572">
        <f>'CT (CTR)'!Z125</f>
        <v>0</v>
      </c>
      <c r="Y101" s="572">
        <f>'CT (CTR)'!AA125</f>
        <v>0</v>
      </c>
      <c r="Z101" s="572">
        <f>'CT (CTR)'!AB125</f>
        <v>0</v>
      </c>
      <c r="AA101" s="572">
        <f>'CT (CTR)'!AC125</f>
        <v>0</v>
      </c>
      <c r="AB101" s="572">
        <f>'CT (CTR)'!AD125</f>
        <v>0</v>
      </c>
      <c r="AC101" s="572">
        <f>'CT (CTR)'!AE125</f>
        <v>0</v>
      </c>
      <c r="AD101" s="572">
        <f>'CT (CTR)'!G91</f>
        <v>0</v>
      </c>
      <c r="AE101" s="572">
        <f>'CT (CTR)'!H91</f>
        <v>0</v>
      </c>
      <c r="AF101" s="572">
        <f>'CT (CTR)'!I91</f>
        <v>0</v>
      </c>
      <c r="AG101" s="572">
        <f>'CT (CTR)'!J91</f>
        <v>0</v>
      </c>
      <c r="AH101" s="572">
        <f>'CT (CTR)'!K91</f>
        <v>0</v>
      </c>
      <c r="AI101" s="572">
        <f>'CT (CTR)'!L91</f>
        <v>0</v>
      </c>
      <c r="AJ101" s="572">
        <f>'CT (CTR)'!M91</f>
        <v>0</v>
      </c>
      <c r="AK101" s="572">
        <f>'CT (CTR)'!N91</f>
        <v>0</v>
      </c>
      <c r="AL101" s="572">
        <f>'CT (CTR)'!O91</f>
        <v>0</v>
      </c>
      <c r="AM101" s="572">
        <f>'CT (CTR)'!P91</f>
        <v>0</v>
      </c>
      <c r="AN101" s="572">
        <f>'CT (CTR)'!Q91</f>
        <v>0</v>
      </c>
      <c r="AO101" s="572">
        <f>'CT (CTR)'!R91</f>
        <v>0</v>
      </c>
      <c r="AP101" s="572">
        <f>'CT (CTR)'!S91</f>
        <v>0</v>
      </c>
      <c r="AQ101" s="572">
        <f>'CT (CTR)'!T91</f>
        <v>0</v>
      </c>
      <c r="AR101" s="572">
        <f>'CT (CTR)'!U91</f>
        <v>0</v>
      </c>
      <c r="AS101" s="572">
        <f>'CT (CTR)'!V91</f>
        <v>0</v>
      </c>
      <c r="AT101" s="572">
        <f>'CT (CTR)'!W91</f>
        <v>0</v>
      </c>
      <c r="AU101" s="572">
        <f>'CT (CTR)'!X91</f>
        <v>0</v>
      </c>
      <c r="AV101" s="572">
        <f>'CT (CTR)'!Y91</f>
        <v>0</v>
      </c>
      <c r="AW101" s="572">
        <f>'CT (CTR)'!Z91</f>
        <v>0</v>
      </c>
      <c r="AX101" s="572">
        <f>'CT (CTR)'!AA91</f>
        <v>0</v>
      </c>
      <c r="AY101" s="572">
        <f>'CT (CTR)'!AB91</f>
        <v>0</v>
      </c>
      <c r="AZ101" s="572">
        <f>'CT (CTR)'!AC91</f>
        <v>0</v>
      </c>
      <c r="BA101" s="572">
        <f>'CT (CTR)'!AD91</f>
        <v>0</v>
      </c>
      <c r="BB101" s="572">
        <f>'CT (CTR)'!AE91</f>
        <v>0</v>
      </c>
      <c r="BC101" s="572">
        <f>'CT (CTR)'!G57</f>
        <v>1.9074614917518</v>
      </c>
      <c r="BD101" s="572">
        <f>'CT (CTR)'!H57</f>
        <v>0.462318068572936</v>
      </c>
      <c r="BE101" s="572">
        <f>'CT (CTR)'!I57</f>
        <v>1.2024453805892701</v>
      </c>
      <c r="BF101" s="572">
        <f>'CT (CTR)'!J57</f>
        <v>0.32116494630394499</v>
      </c>
      <c r="BG101" s="572">
        <f>'CT (CTR)'!K57</f>
        <v>0.15851517045098601</v>
      </c>
      <c r="BH101" s="572">
        <f>'CT (CTR)'!L57</f>
        <v>0.20420997278196601</v>
      </c>
      <c r="BI101" s="572">
        <f>'CT (CTR)'!M57</f>
        <v>0.15443821890919801</v>
      </c>
      <c r="BJ101" s="572">
        <f>'CT (CTR)'!N57</f>
        <v>0.138426918308725</v>
      </c>
      <c r="BK101" s="572">
        <f>'CT (CTR)'!O57</f>
        <v>0</v>
      </c>
      <c r="BL101" s="572">
        <f>'CT (CTR)'!P57</f>
        <v>0.21343459041186899</v>
      </c>
      <c r="BM101" s="572">
        <f>'CT (CTR)'!Q57</f>
        <v>9.4931198930586103E-2</v>
      </c>
      <c r="BN101" s="572">
        <f>'CT (CTR)'!R57</f>
        <v>6.9678808168727902E-2</v>
      </c>
      <c r="BO101" s="572">
        <f>'CT (CTR)'!S57</f>
        <v>0.16357223761594999</v>
      </c>
      <c r="BP101" s="572">
        <f>'CT (CTR)'!T57</f>
        <v>4.7605615982889801E-2</v>
      </c>
      <c r="BQ101" s="572">
        <f>'CT (CTR)'!U57</f>
        <v>0</v>
      </c>
      <c r="BR101" s="572">
        <f>'CT (CTR)'!V57</f>
        <v>0</v>
      </c>
      <c r="BS101" s="572">
        <f>'CT (CTR)'!W57</f>
        <v>0</v>
      </c>
      <c r="BT101" s="572">
        <f>'CT (CTR)'!X57</f>
        <v>0</v>
      </c>
      <c r="BU101" s="572">
        <f>'CT (CTR)'!Y57</f>
        <v>0</v>
      </c>
      <c r="BV101" s="572">
        <f>'CT (CTR)'!Z57</f>
        <v>0</v>
      </c>
      <c r="BW101" s="572">
        <f>'CT (CTR)'!AA57</f>
        <v>0</v>
      </c>
      <c r="BX101" s="572">
        <f>'CT (CTR)'!AB57</f>
        <v>0</v>
      </c>
      <c r="BY101" s="572">
        <f>'CT (CTR)'!AC57</f>
        <v>0</v>
      </c>
      <c r="BZ101" s="572">
        <f>'CT (CTR)'!AD57</f>
        <v>0</v>
      </c>
      <c r="CA101" s="572">
        <f>'CT (CTR)'!AE57</f>
        <v>0</v>
      </c>
    </row>
    <row r="102" spans="1:79" x14ac:dyDescent="0.2">
      <c r="A102" s="689" t="str">
        <f t="shared" si="26"/>
        <v>FORA PONTA</v>
      </c>
      <c r="B102" s="571">
        <f t="shared" si="25"/>
        <v>1.5000000000000007</v>
      </c>
      <c r="C102" s="566" t="s">
        <v>358</v>
      </c>
      <c r="D102" s="569">
        <v>19</v>
      </c>
      <c r="E102" s="572">
        <f>'CT (CTR)'!G126</f>
        <v>0</v>
      </c>
      <c r="F102" s="572">
        <f>'CT (CTR)'!H126</f>
        <v>0</v>
      </c>
      <c r="G102" s="572">
        <f>'CT (CTR)'!I126</f>
        <v>0</v>
      </c>
      <c r="H102" s="572">
        <f>'CT (CTR)'!J126</f>
        <v>0</v>
      </c>
      <c r="I102" s="572">
        <f>'CT (CTR)'!K126</f>
        <v>0</v>
      </c>
      <c r="J102" s="572">
        <f>'CT (CTR)'!L126</f>
        <v>0</v>
      </c>
      <c r="K102" s="572">
        <f>'CT (CTR)'!M126</f>
        <v>0</v>
      </c>
      <c r="L102" s="572">
        <f>'CT (CTR)'!N126</f>
        <v>0</v>
      </c>
      <c r="M102" s="572">
        <f>'CT (CTR)'!O126</f>
        <v>0</v>
      </c>
      <c r="N102" s="572">
        <f>'CT (CTR)'!P126</f>
        <v>0</v>
      </c>
      <c r="O102" s="572">
        <f>'CT (CTR)'!Q126</f>
        <v>0</v>
      </c>
      <c r="P102" s="572">
        <f>'CT (CTR)'!R126</f>
        <v>0</v>
      </c>
      <c r="Q102" s="572">
        <f>'CT (CTR)'!S126</f>
        <v>0</v>
      </c>
      <c r="R102" s="572">
        <f>'CT (CTR)'!T126</f>
        <v>0</v>
      </c>
      <c r="S102" s="572">
        <f>'CT (CTR)'!U126</f>
        <v>0</v>
      </c>
      <c r="T102" s="572">
        <f>'CT (CTR)'!V126</f>
        <v>0</v>
      </c>
      <c r="U102" s="572">
        <f>'CT (CTR)'!W126</f>
        <v>0</v>
      </c>
      <c r="V102" s="572">
        <f>'CT (CTR)'!X126</f>
        <v>0</v>
      </c>
      <c r="W102" s="572">
        <f>'CT (CTR)'!Y126</f>
        <v>0</v>
      </c>
      <c r="X102" s="572">
        <f>'CT (CTR)'!Z126</f>
        <v>0</v>
      </c>
      <c r="Y102" s="572">
        <f>'CT (CTR)'!AA126</f>
        <v>0</v>
      </c>
      <c r="Z102" s="572">
        <f>'CT (CTR)'!AB126</f>
        <v>0</v>
      </c>
      <c r="AA102" s="572">
        <f>'CT (CTR)'!AC126</f>
        <v>0</v>
      </c>
      <c r="AB102" s="572">
        <f>'CT (CTR)'!AD126</f>
        <v>0</v>
      </c>
      <c r="AC102" s="572">
        <f>'CT (CTR)'!AE126</f>
        <v>0</v>
      </c>
      <c r="AD102" s="572">
        <f>'CT (CTR)'!G92</f>
        <v>0</v>
      </c>
      <c r="AE102" s="572">
        <f>'CT (CTR)'!H92</f>
        <v>0</v>
      </c>
      <c r="AF102" s="572">
        <f>'CT (CTR)'!I92</f>
        <v>0</v>
      </c>
      <c r="AG102" s="572">
        <f>'CT (CTR)'!J92</f>
        <v>0</v>
      </c>
      <c r="AH102" s="572">
        <f>'CT (CTR)'!K92</f>
        <v>0</v>
      </c>
      <c r="AI102" s="572">
        <f>'CT (CTR)'!L92</f>
        <v>0</v>
      </c>
      <c r="AJ102" s="572">
        <f>'CT (CTR)'!M92</f>
        <v>0</v>
      </c>
      <c r="AK102" s="572">
        <f>'CT (CTR)'!N92</f>
        <v>0</v>
      </c>
      <c r="AL102" s="572">
        <f>'CT (CTR)'!O92</f>
        <v>0</v>
      </c>
      <c r="AM102" s="572">
        <f>'CT (CTR)'!P92</f>
        <v>0</v>
      </c>
      <c r="AN102" s="572">
        <f>'CT (CTR)'!Q92</f>
        <v>0</v>
      </c>
      <c r="AO102" s="572">
        <f>'CT (CTR)'!R92</f>
        <v>0</v>
      </c>
      <c r="AP102" s="572">
        <f>'CT (CTR)'!S92</f>
        <v>0</v>
      </c>
      <c r="AQ102" s="572">
        <f>'CT (CTR)'!T92</f>
        <v>0</v>
      </c>
      <c r="AR102" s="572">
        <f>'CT (CTR)'!U92</f>
        <v>0</v>
      </c>
      <c r="AS102" s="572">
        <f>'CT (CTR)'!V92</f>
        <v>0</v>
      </c>
      <c r="AT102" s="572">
        <f>'CT (CTR)'!W92</f>
        <v>0</v>
      </c>
      <c r="AU102" s="572">
        <f>'CT (CTR)'!X92</f>
        <v>0</v>
      </c>
      <c r="AV102" s="572">
        <f>'CT (CTR)'!Y92</f>
        <v>0</v>
      </c>
      <c r="AW102" s="572">
        <f>'CT (CTR)'!Z92</f>
        <v>0</v>
      </c>
      <c r="AX102" s="572">
        <f>'CT (CTR)'!AA92</f>
        <v>0</v>
      </c>
      <c r="AY102" s="572">
        <f>'CT (CTR)'!AB92</f>
        <v>0</v>
      </c>
      <c r="AZ102" s="572">
        <f>'CT (CTR)'!AC92</f>
        <v>0</v>
      </c>
      <c r="BA102" s="572">
        <f>'CT (CTR)'!AD92</f>
        <v>0</v>
      </c>
      <c r="BB102" s="572">
        <f>'CT (CTR)'!AE92</f>
        <v>0</v>
      </c>
      <c r="BC102" s="572">
        <f>'CT (CTR)'!G58</f>
        <v>0.89460671225424204</v>
      </c>
      <c r="BD102" s="572">
        <f>'CT (CTR)'!H58</f>
        <v>0.288928202193732</v>
      </c>
      <c r="BE102" s="572">
        <f>'CT (CTR)'!I58</f>
        <v>1.11425968330056</v>
      </c>
      <c r="BF102" s="572">
        <f>'CT (CTR)'!J58</f>
        <v>0.30022835879036303</v>
      </c>
      <c r="BG102" s="572">
        <f>'CT (CTR)'!K58</f>
        <v>0.198255152651235</v>
      </c>
      <c r="BH102" s="572">
        <f>'CT (CTR)'!L58</f>
        <v>0.22662085186318501</v>
      </c>
      <c r="BI102" s="572">
        <f>'CT (CTR)'!M58</f>
        <v>0.14190262245141999</v>
      </c>
      <c r="BJ102" s="572">
        <f>'CT (CTR)'!N58</f>
        <v>0.147577409546958</v>
      </c>
      <c r="BK102" s="572">
        <f>'CT (CTR)'!O58</f>
        <v>7.0831885372465802E-4</v>
      </c>
      <c r="BL102" s="572">
        <f>'CT (CTR)'!P58</f>
        <v>3.5794810910318102E-2</v>
      </c>
      <c r="BM102" s="572">
        <f>'CT (CTR)'!Q58</f>
        <v>6.1244872049959903E-2</v>
      </c>
      <c r="BN102" s="572">
        <f>'CT (CTR)'!R58</f>
        <v>4.2828581853118802E-2</v>
      </c>
      <c r="BO102" s="572">
        <f>'CT (CTR)'!S58</f>
        <v>0.14775037112751899</v>
      </c>
      <c r="BP102" s="572">
        <f>'CT (CTR)'!T58</f>
        <v>2.6841990049868099E-2</v>
      </c>
      <c r="BQ102" s="572">
        <f>'CT (CTR)'!U58</f>
        <v>0</v>
      </c>
      <c r="BR102" s="572">
        <f>'CT (CTR)'!V58</f>
        <v>0</v>
      </c>
      <c r="BS102" s="572">
        <f>'CT (CTR)'!W58</f>
        <v>0</v>
      </c>
      <c r="BT102" s="572">
        <f>'CT (CTR)'!X58</f>
        <v>0</v>
      </c>
      <c r="BU102" s="572">
        <f>'CT (CTR)'!Y58</f>
        <v>0</v>
      </c>
      <c r="BV102" s="572">
        <f>'CT (CTR)'!Z58</f>
        <v>0</v>
      </c>
      <c r="BW102" s="572">
        <f>'CT (CTR)'!AA58</f>
        <v>0</v>
      </c>
      <c r="BX102" s="572">
        <f>'CT (CTR)'!AB58</f>
        <v>0</v>
      </c>
      <c r="BY102" s="572">
        <f>'CT (CTR)'!AC58</f>
        <v>0</v>
      </c>
      <c r="BZ102" s="572">
        <f>'CT (CTR)'!AD58</f>
        <v>0</v>
      </c>
      <c r="CA102" s="572">
        <f>'CT (CTR)'!AE58</f>
        <v>0</v>
      </c>
    </row>
    <row r="103" spans="1:79" x14ac:dyDescent="0.2">
      <c r="A103" s="689" t="str">
        <f t="shared" si="26"/>
        <v>FORA PONTA</v>
      </c>
      <c r="B103" s="571">
        <f t="shared" si="25"/>
        <v>1.5416666666666674</v>
      </c>
      <c r="C103" s="566" t="s">
        <v>358</v>
      </c>
      <c r="D103" s="569">
        <v>20</v>
      </c>
      <c r="E103" s="572">
        <f>'CT (CTR)'!G127</f>
        <v>0</v>
      </c>
      <c r="F103" s="572">
        <f>'CT (CTR)'!H127</f>
        <v>0</v>
      </c>
      <c r="G103" s="572">
        <f>'CT (CTR)'!I127</f>
        <v>0</v>
      </c>
      <c r="H103" s="572">
        <f>'CT (CTR)'!J127</f>
        <v>0</v>
      </c>
      <c r="I103" s="572">
        <f>'CT (CTR)'!K127</f>
        <v>0</v>
      </c>
      <c r="J103" s="572">
        <f>'CT (CTR)'!L127</f>
        <v>0</v>
      </c>
      <c r="K103" s="572">
        <f>'CT (CTR)'!M127</f>
        <v>0</v>
      </c>
      <c r="L103" s="572">
        <f>'CT (CTR)'!N127</f>
        <v>0</v>
      </c>
      <c r="M103" s="572">
        <f>'CT (CTR)'!O127</f>
        <v>0</v>
      </c>
      <c r="N103" s="572">
        <f>'CT (CTR)'!P127</f>
        <v>0</v>
      </c>
      <c r="O103" s="572">
        <f>'CT (CTR)'!Q127</f>
        <v>0</v>
      </c>
      <c r="P103" s="572">
        <f>'CT (CTR)'!R127</f>
        <v>0</v>
      </c>
      <c r="Q103" s="572">
        <f>'CT (CTR)'!S127</f>
        <v>0</v>
      </c>
      <c r="R103" s="572">
        <f>'CT (CTR)'!T127</f>
        <v>0</v>
      </c>
      <c r="S103" s="572">
        <f>'CT (CTR)'!U127</f>
        <v>0</v>
      </c>
      <c r="T103" s="572">
        <f>'CT (CTR)'!V127</f>
        <v>0</v>
      </c>
      <c r="U103" s="572">
        <f>'CT (CTR)'!W127</f>
        <v>0</v>
      </c>
      <c r="V103" s="572">
        <f>'CT (CTR)'!X127</f>
        <v>0</v>
      </c>
      <c r="W103" s="572">
        <f>'CT (CTR)'!Y127</f>
        <v>0</v>
      </c>
      <c r="X103" s="572">
        <f>'CT (CTR)'!Z127</f>
        <v>0</v>
      </c>
      <c r="Y103" s="572">
        <f>'CT (CTR)'!AA127</f>
        <v>0</v>
      </c>
      <c r="Z103" s="572">
        <f>'CT (CTR)'!AB127</f>
        <v>0</v>
      </c>
      <c r="AA103" s="572">
        <f>'CT (CTR)'!AC127</f>
        <v>0</v>
      </c>
      <c r="AB103" s="572">
        <f>'CT (CTR)'!AD127</f>
        <v>0</v>
      </c>
      <c r="AC103" s="572">
        <f>'CT (CTR)'!AE127</f>
        <v>0</v>
      </c>
      <c r="AD103" s="572">
        <f>'CT (CTR)'!G93</f>
        <v>0</v>
      </c>
      <c r="AE103" s="572">
        <f>'CT (CTR)'!H93</f>
        <v>0</v>
      </c>
      <c r="AF103" s="572">
        <f>'CT (CTR)'!I93</f>
        <v>0</v>
      </c>
      <c r="AG103" s="572">
        <f>'CT (CTR)'!J93</f>
        <v>0</v>
      </c>
      <c r="AH103" s="572">
        <f>'CT (CTR)'!K93</f>
        <v>0</v>
      </c>
      <c r="AI103" s="572">
        <f>'CT (CTR)'!L93</f>
        <v>0</v>
      </c>
      <c r="AJ103" s="572">
        <f>'CT (CTR)'!M93</f>
        <v>0</v>
      </c>
      <c r="AK103" s="572">
        <f>'CT (CTR)'!N93</f>
        <v>0</v>
      </c>
      <c r="AL103" s="572">
        <f>'CT (CTR)'!O93</f>
        <v>0</v>
      </c>
      <c r="AM103" s="572">
        <f>'CT (CTR)'!P93</f>
        <v>0</v>
      </c>
      <c r="AN103" s="572">
        <f>'CT (CTR)'!Q93</f>
        <v>0</v>
      </c>
      <c r="AO103" s="572">
        <f>'CT (CTR)'!R93</f>
        <v>0</v>
      </c>
      <c r="AP103" s="572">
        <f>'CT (CTR)'!S93</f>
        <v>0</v>
      </c>
      <c r="AQ103" s="572">
        <f>'CT (CTR)'!T93</f>
        <v>0</v>
      </c>
      <c r="AR103" s="572">
        <f>'CT (CTR)'!U93</f>
        <v>0</v>
      </c>
      <c r="AS103" s="572">
        <f>'CT (CTR)'!V93</f>
        <v>0</v>
      </c>
      <c r="AT103" s="572">
        <f>'CT (CTR)'!W93</f>
        <v>0</v>
      </c>
      <c r="AU103" s="572">
        <f>'CT (CTR)'!X93</f>
        <v>0</v>
      </c>
      <c r="AV103" s="572">
        <f>'CT (CTR)'!Y93</f>
        <v>0</v>
      </c>
      <c r="AW103" s="572">
        <f>'CT (CTR)'!Z93</f>
        <v>0</v>
      </c>
      <c r="AX103" s="572">
        <f>'CT (CTR)'!AA93</f>
        <v>0</v>
      </c>
      <c r="AY103" s="572">
        <f>'CT (CTR)'!AB93</f>
        <v>0</v>
      </c>
      <c r="AZ103" s="572">
        <f>'CT (CTR)'!AC93</f>
        <v>0</v>
      </c>
      <c r="BA103" s="572">
        <f>'CT (CTR)'!AD93</f>
        <v>0</v>
      </c>
      <c r="BB103" s="572">
        <f>'CT (CTR)'!AE93</f>
        <v>0</v>
      </c>
      <c r="BC103" s="572">
        <f>'CT (CTR)'!G59</f>
        <v>1.6075872923882999</v>
      </c>
      <c r="BD103" s="572">
        <f>'CT (CTR)'!H59</f>
        <v>0.30056604568574302</v>
      </c>
      <c r="BE103" s="572">
        <f>'CT (CTR)'!I59</f>
        <v>0.95227704497261501</v>
      </c>
      <c r="BF103" s="572">
        <f>'CT (CTR)'!J59</f>
        <v>0.39884940477290998</v>
      </c>
      <c r="BG103" s="572">
        <f>'CT (CTR)'!K59</f>
        <v>0.18918702407041099</v>
      </c>
      <c r="BH103" s="572">
        <f>'CT (CTR)'!L59</f>
        <v>0.243760520870174</v>
      </c>
      <c r="BI103" s="572">
        <f>'CT (CTR)'!M59</f>
        <v>0.143286315095905</v>
      </c>
      <c r="BJ103" s="572">
        <f>'CT (CTR)'!N59</f>
        <v>0.14184496859123299</v>
      </c>
      <c r="BK103" s="572">
        <f>'CT (CTR)'!O59</f>
        <v>6.6713752501973596E-4</v>
      </c>
      <c r="BL103" s="572">
        <f>'CT (CTR)'!P59</f>
        <v>0.156110180854618</v>
      </c>
      <c r="BM103" s="572">
        <f>'CT (CTR)'!Q59</f>
        <v>0.13884696786151399</v>
      </c>
      <c r="BN103" s="572">
        <f>'CT (CTR)'!R59</f>
        <v>7.7074974804131904E-2</v>
      </c>
      <c r="BO103" s="572">
        <f>'CT (CTR)'!S59</f>
        <v>6.4860592710252005E-2</v>
      </c>
      <c r="BP103" s="572">
        <f>'CT (CTR)'!T59</f>
        <v>3.0012952360147099E-2</v>
      </c>
      <c r="BQ103" s="572">
        <f>'CT (CTR)'!U59</f>
        <v>0</v>
      </c>
      <c r="BR103" s="572">
        <f>'CT (CTR)'!V59</f>
        <v>0</v>
      </c>
      <c r="BS103" s="572">
        <f>'CT (CTR)'!W59</f>
        <v>0</v>
      </c>
      <c r="BT103" s="572">
        <f>'CT (CTR)'!X59</f>
        <v>0</v>
      </c>
      <c r="BU103" s="572">
        <f>'CT (CTR)'!Y59</f>
        <v>0</v>
      </c>
      <c r="BV103" s="572">
        <f>'CT (CTR)'!Z59</f>
        <v>0</v>
      </c>
      <c r="BW103" s="572">
        <f>'CT (CTR)'!AA59</f>
        <v>0</v>
      </c>
      <c r="BX103" s="572">
        <f>'CT (CTR)'!AB59</f>
        <v>0</v>
      </c>
      <c r="BY103" s="572">
        <f>'CT (CTR)'!AC59</f>
        <v>0</v>
      </c>
      <c r="BZ103" s="572">
        <f>'CT (CTR)'!AD59</f>
        <v>0</v>
      </c>
      <c r="CA103" s="572">
        <f>'CT (CTR)'!AE59</f>
        <v>0</v>
      </c>
    </row>
    <row r="104" spans="1:79" x14ac:dyDescent="0.2">
      <c r="A104" s="689" t="str">
        <f t="shared" si="26"/>
        <v>FORA PONTA</v>
      </c>
      <c r="B104" s="571">
        <f t="shared" si="25"/>
        <v>1.5833333333333341</v>
      </c>
      <c r="C104" s="566" t="s">
        <v>358</v>
      </c>
      <c r="D104" s="569">
        <v>21</v>
      </c>
      <c r="E104" s="572">
        <f>'CT (CTR)'!G128</f>
        <v>0</v>
      </c>
      <c r="F104" s="572">
        <f>'CT (CTR)'!H128</f>
        <v>0</v>
      </c>
      <c r="G104" s="572">
        <f>'CT (CTR)'!I128</f>
        <v>0</v>
      </c>
      <c r="H104" s="572">
        <f>'CT (CTR)'!J128</f>
        <v>0</v>
      </c>
      <c r="I104" s="572">
        <f>'CT (CTR)'!K128</f>
        <v>0</v>
      </c>
      <c r="J104" s="572">
        <f>'CT (CTR)'!L128</f>
        <v>0</v>
      </c>
      <c r="K104" s="572">
        <f>'CT (CTR)'!M128</f>
        <v>0</v>
      </c>
      <c r="L104" s="572">
        <f>'CT (CTR)'!N128</f>
        <v>0</v>
      </c>
      <c r="M104" s="572">
        <f>'CT (CTR)'!O128</f>
        <v>0</v>
      </c>
      <c r="N104" s="572">
        <f>'CT (CTR)'!P128</f>
        <v>0</v>
      </c>
      <c r="O104" s="572">
        <f>'CT (CTR)'!Q128</f>
        <v>0</v>
      </c>
      <c r="P104" s="572">
        <f>'CT (CTR)'!R128</f>
        <v>0</v>
      </c>
      <c r="Q104" s="572">
        <f>'CT (CTR)'!S128</f>
        <v>0</v>
      </c>
      <c r="R104" s="572">
        <f>'CT (CTR)'!T128</f>
        <v>0</v>
      </c>
      <c r="S104" s="572">
        <f>'CT (CTR)'!U128</f>
        <v>0</v>
      </c>
      <c r="T104" s="572">
        <f>'CT (CTR)'!V128</f>
        <v>0</v>
      </c>
      <c r="U104" s="572">
        <f>'CT (CTR)'!W128</f>
        <v>0</v>
      </c>
      <c r="V104" s="572">
        <f>'CT (CTR)'!X128</f>
        <v>0</v>
      </c>
      <c r="W104" s="572">
        <f>'CT (CTR)'!Y128</f>
        <v>0</v>
      </c>
      <c r="X104" s="572">
        <f>'CT (CTR)'!Z128</f>
        <v>0</v>
      </c>
      <c r="Y104" s="572">
        <f>'CT (CTR)'!AA128</f>
        <v>0</v>
      </c>
      <c r="Z104" s="572">
        <f>'CT (CTR)'!AB128</f>
        <v>0</v>
      </c>
      <c r="AA104" s="572">
        <f>'CT (CTR)'!AC128</f>
        <v>0</v>
      </c>
      <c r="AB104" s="572">
        <f>'CT (CTR)'!AD128</f>
        <v>0</v>
      </c>
      <c r="AC104" s="572">
        <f>'CT (CTR)'!AE128</f>
        <v>0</v>
      </c>
      <c r="AD104" s="572">
        <f>'CT (CTR)'!G94</f>
        <v>0</v>
      </c>
      <c r="AE104" s="572">
        <f>'CT (CTR)'!H94</f>
        <v>0</v>
      </c>
      <c r="AF104" s="572">
        <f>'CT (CTR)'!I94</f>
        <v>0</v>
      </c>
      <c r="AG104" s="572">
        <f>'CT (CTR)'!J94</f>
        <v>0</v>
      </c>
      <c r="AH104" s="572">
        <f>'CT (CTR)'!K94</f>
        <v>0</v>
      </c>
      <c r="AI104" s="572">
        <f>'CT (CTR)'!L94</f>
        <v>0</v>
      </c>
      <c r="AJ104" s="572">
        <f>'CT (CTR)'!M94</f>
        <v>0</v>
      </c>
      <c r="AK104" s="572">
        <f>'CT (CTR)'!N94</f>
        <v>0</v>
      </c>
      <c r="AL104" s="572">
        <f>'CT (CTR)'!O94</f>
        <v>0</v>
      </c>
      <c r="AM104" s="572">
        <f>'CT (CTR)'!P94</f>
        <v>0</v>
      </c>
      <c r="AN104" s="572">
        <f>'CT (CTR)'!Q94</f>
        <v>0</v>
      </c>
      <c r="AO104" s="572">
        <f>'CT (CTR)'!R94</f>
        <v>0</v>
      </c>
      <c r="AP104" s="572">
        <f>'CT (CTR)'!S94</f>
        <v>0</v>
      </c>
      <c r="AQ104" s="572">
        <f>'CT (CTR)'!T94</f>
        <v>0</v>
      </c>
      <c r="AR104" s="572">
        <f>'CT (CTR)'!U94</f>
        <v>0</v>
      </c>
      <c r="AS104" s="572">
        <f>'CT (CTR)'!V94</f>
        <v>0</v>
      </c>
      <c r="AT104" s="572">
        <f>'CT (CTR)'!W94</f>
        <v>0</v>
      </c>
      <c r="AU104" s="572">
        <f>'CT (CTR)'!X94</f>
        <v>0</v>
      </c>
      <c r="AV104" s="572">
        <f>'CT (CTR)'!Y94</f>
        <v>0</v>
      </c>
      <c r="AW104" s="572">
        <f>'CT (CTR)'!Z94</f>
        <v>0</v>
      </c>
      <c r="AX104" s="572">
        <f>'CT (CTR)'!AA94</f>
        <v>0</v>
      </c>
      <c r="AY104" s="572">
        <f>'CT (CTR)'!AB94</f>
        <v>0</v>
      </c>
      <c r="AZ104" s="572">
        <f>'CT (CTR)'!AC94</f>
        <v>0</v>
      </c>
      <c r="BA104" s="572">
        <f>'CT (CTR)'!AD94</f>
        <v>0</v>
      </c>
      <c r="BB104" s="572">
        <f>'CT (CTR)'!AE94</f>
        <v>0</v>
      </c>
      <c r="BC104" s="572">
        <f>'CT (CTR)'!G60</f>
        <v>2.3922069119374298</v>
      </c>
      <c r="BD104" s="572">
        <f>'CT (CTR)'!H60</f>
        <v>0.47001074077501498</v>
      </c>
      <c r="BE104" s="572">
        <f>'CT (CTR)'!I60</f>
        <v>0.70937309573950302</v>
      </c>
      <c r="BF104" s="572">
        <f>'CT (CTR)'!J60</f>
        <v>0.41179681451773698</v>
      </c>
      <c r="BG104" s="572">
        <f>'CT (CTR)'!K60</f>
        <v>0.19043070019729999</v>
      </c>
      <c r="BH104" s="572">
        <f>'CT (CTR)'!L60</f>
        <v>0.25975534893916602</v>
      </c>
      <c r="BI104" s="572">
        <f>'CT (CTR)'!M60</f>
        <v>0.150287140975742</v>
      </c>
      <c r="BJ104" s="572">
        <f>'CT (CTR)'!N60</f>
        <v>0.184558242723978</v>
      </c>
      <c r="BK104" s="572">
        <f>'CT (CTR)'!O60</f>
        <v>3.9534075556724998E-4</v>
      </c>
      <c r="BL104" s="572">
        <f>'CT (CTR)'!P60</f>
        <v>0.248867005629584</v>
      </c>
      <c r="BM104" s="572">
        <f>'CT (CTR)'!Q60</f>
        <v>0.219578844654644</v>
      </c>
      <c r="BN104" s="572">
        <f>'CT (CTR)'!R60</f>
        <v>0.11479707189784</v>
      </c>
      <c r="BO104" s="572">
        <f>'CT (CTR)'!S60</f>
        <v>2.4766451083140101E-2</v>
      </c>
      <c r="BP104" s="572">
        <f>'CT (CTR)'!T60</f>
        <v>3.51606184482623E-2</v>
      </c>
      <c r="BQ104" s="572">
        <f>'CT (CTR)'!U60</f>
        <v>0</v>
      </c>
      <c r="BR104" s="572">
        <f>'CT (CTR)'!V60</f>
        <v>0</v>
      </c>
      <c r="BS104" s="572">
        <f>'CT (CTR)'!W60</f>
        <v>0</v>
      </c>
      <c r="BT104" s="572">
        <f>'CT (CTR)'!X60</f>
        <v>0</v>
      </c>
      <c r="BU104" s="572">
        <f>'CT (CTR)'!Y60</f>
        <v>0</v>
      </c>
      <c r="BV104" s="572">
        <f>'CT (CTR)'!Z60</f>
        <v>0</v>
      </c>
      <c r="BW104" s="572">
        <f>'CT (CTR)'!AA60</f>
        <v>0</v>
      </c>
      <c r="BX104" s="572">
        <f>'CT (CTR)'!AB60</f>
        <v>0</v>
      </c>
      <c r="BY104" s="572">
        <f>'CT (CTR)'!AC60</f>
        <v>0</v>
      </c>
      <c r="BZ104" s="572">
        <f>'CT (CTR)'!AD60</f>
        <v>0</v>
      </c>
      <c r="CA104" s="572">
        <f>'CT (CTR)'!AE60</f>
        <v>0</v>
      </c>
    </row>
    <row r="105" spans="1:79" x14ac:dyDescent="0.2">
      <c r="A105" s="689" t="str">
        <f t="shared" si="26"/>
        <v>FORA PONTA</v>
      </c>
      <c r="B105" s="571">
        <f t="shared" si="25"/>
        <v>1.6250000000000009</v>
      </c>
      <c r="C105" s="566" t="s">
        <v>358</v>
      </c>
      <c r="D105" s="569">
        <v>22</v>
      </c>
      <c r="E105" s="572">
        <f>'CT (CTR)'!G129</f>
        <v>0</v>
      </c>
      <c r="F105" s="572">
        <f>'CT (CTR)'!H129</f>
        <v>0</v>
      </c>
      <c r="G105" s="572">
        <f>'CT (CTR)'!I129</f>
        <v>0</v>
      </c>
      <c r="H105" s="572">
        <f>'CT (CTR)'!J129</f>
        <v>0</v>
      </c>
      <c r="I105" s="572">
        <f>'CT (CTR)'!K129</f>
        <v>0</v>
      </c>
      <c r="J105" s="572">
        <f>'CT (CTR)'!L129</f>
        <v>0</v>
      </c>
      <c r="K105" s="572">
        <f>'CT (CTR)'!M129</f>
        <v>0</v>
      </c>
      <c r="L105" s="572">
        <f>'CT (CTR)'!N129</f>
        <v>0</v>
      </c>
      <c r="M105" s="572">
        <f>'CT (CTR)'!O129</f>
        <v>0</v>
      </c>
      <c r="N105" s="572">
        <f>'CT (CTR)'!P129</f>
        <v>0</v>
      </c>
      <c r="O105" s="572">
        <f>'CT (CTR)'!Q129</f>
        <v>0</v>
      </c>
      <c r="P105" s="572">
        <f>'CT (CTR)'!R129</f>
        <v>0</v>
      </c>
      <c r="Q105" s="572">
        <f>'CT (CTR)'!S129</f>
        <v>0</v>
      </c>
      <c r="R105" s="572">
        <f>'CT (CTR)'!T129</f>
        <v>0</v>
      </c>
      <c r="S105" s="572">
        <f>'CT (CTR)'!U129</f>
        <v>0</v>
      </c>
      <c r="T105" s="572">
        <f>'CT (CTR)'!V129</f>
        <v>0</v>
      </c>
      <c r="U105" s="572">
        <f>'CT (CTR)'!W129</f>
        <v>0</v>
      </c>
      <c r="V105" s="572">
        <f>'CT (CTR)'!X129</f>
        <v>0</v>
      </c>
      <c r="W105" s="572">
        <f>'CT (CTR)'!Y129</f>
        <v>0</v>
      </c>
      <c r="X105" s="572">
        <f>'CT (CTR)'!Z129</f>
        <v>0</v>
      </c>
      <c r="Y105" s="572">
        <f>'CT (CTR)'!AA129</f>
        <v>0</v>
      </c>
      <c r="Z105" s="572">
        <f>'CT (CTR)'!AB129</f>
        <v>0</v>
      </c>
      <c r="AA105" s="572">
        <f>'CT (CTR)'!AC129</f>
        <v>0</v>
      </c>
      <c r="AB105" s="572">
        <f>'CT (CTR)'!AD129</f>
        <v>0</v>
      </c>
      <c r="AC105" s="572">
        <f>'CT (CTR)'!AE129</f>
        <v>0</v>
      </c>
      <c r="AD105" s="572">
        <f>'CT (CTR)'!G95</f>
        <v>0</v>
      </c>
      <c r="AE105" s="572">
        <f>'CT (CTR)'!H95</f>
        <v>0</v>
      </c>
      <c r="AF105" s="572">
        <f>'CT (CTR)'!I95</f>
        <v>0</v>
      </c>
      <c r="AG105" s="572">
        <f>'CT (CTR)'!J95</f>
        <v>0</v>
      </c>
      <c r="AH105" s="572">
        <f>'CT (CTR)'!K95</f>
        <v>0</v>
      </c>
      <c r="AI105" s="572">
        <f>'CT (CTR)'!L95</f>
        <v>0</v>
      </c>
      <c r="AJ105" s="572">
        <f>'CT (CTR)'!M95</f>
        <v>0</v>
      </c>
      <c r="AK105" s="572">
        <f>'CT (CTR)'!N95</f>
        <v>0</v>
      </c>
      <c r="AL105" s="572">
        <f>'CT (CTR)'!O95</f>
        <v>0</v>
      </c>
      <c r="AM105" s="572">
        <f>'CT (CTR)'!P95</f>
        <v>0</v>
      </c>
      <c r="AN105" s="572">
        <f>'CT (CTR)'!Q95</f>
        <v>0</v>
      </c>
      <c r="AO105" s="572">
        <f>'CT (CTR)'!R95</f>
        <v>0</v>
      </c>
      <c r="AP105" s="572">
        <f>'CT (CTR)'!S95</f>
        <v>0</v>
      </c>
      <c r="AQ105" s="572">
        <f>'CT (CTR)'!T95</f>
        <v>0</v>
      </c>
      <c r="AR105" s="572">
        <f>'CT (CTR)'!U95</f>
        <v>0</v>
      </c>
      <c r="AS105" s="572">
        <f>'CT (CTR)'!V95</f>
        <v>0</v>
      </c>
      <c r="AT105" s="572">
        <f>'CT (CTR)'!W95</f>
        <v>0</v>
      </c>
      <c r="AU105" s="572">
        <f>'CT (CTR)'!X95</f>
        <v>0</v>
      </c>
      <c r="AV105" s="572">
        <f>'CT (CTR)'!Y95</f>
        <v>0</v>
      </c>
      <c r="AW105" s="572">
        <f>'CT (CTR)'!Z95</f>
        <v>0</v>
      </c>
      <c r="AX105" s="572">
        <f>'CT (CTR)'!AA95</f>
        <v>0</v>
      </c>
      <c r="AY105" s="572">
        <f>'CT (CTR)'!AB95</f>
        <v>0</v>
      </c>
      <c r="AZ105" s="572">
        <f>'CT (CTR)'!AC95</f>
        <v>0</v>
      </c>
      <c r="BA105" s="572">
        <f>'CT (CTR)'!AD95</f>
        <v>0</v>
      </c>
      <c r="BB105" s="572">
        <f>'CT (CTR)'!AE95</f>
        <v>0</v>
      </c>
      <c r="BC105" s="572">
        <f>'CT (CTR)'!G61</f>
        <v>2.4586406314042102</v>
      </c>
      <c r="BD105" s="572">
        <f>'CT (CTR)'!H61</f>
        <v>0.47251456556027399</v>
      </c>
      <c r="BE105" s="572">
        <f>'CT (CTR)'!I61</f>
        <v>0.42642442247372597</v>
      </c>
      <c r="BF105" s="572">
        <f>'CT (CTR)'!J61</f>
        <v>0.45166034070410099</v>
      </c>
      <c r="BG105" s="572">
        <f>'CT (CTR)'!K61</f>
        <v>0.199712971687389</v>
      </c>
      <c r="BH105" s="572">
        <f>'CT (CTR)'!L61</f>
        <v>0.26345343225686801</v>
      </c>
      <c r="BI105" s="572">
        <f>'CT (CTR)'!M61</f>
        <v>0.16288039129370699</v>
      </c>
      <c r="BJ105" s="572">
        <f>'CT (CTR)'!N61</f>
        <v>0.213253392565568</v>
      </c>
      <c r="BK105" s="572">
        <f>'CT (CTR)'!O61</f>
        <v>9.0598923150828103E-4</v>
      </c>
      <c r="BL105" s="572">
        <f>'CT (CTR)'!P61</f>
        <v>0.21859049276572501</v>
      </c>
      <c r="BM105" s="572">
        <f>'CT (CTR)'!Q61</f>
        <v>0.215592492036008</v>
      </c>
      <c r="BN105" s="572">
        <f>'CT (CTR)'!R61</f>
        <v>0.1044193770642</v>
      </c>
      <c r="BO105" s="572">
        <f>'CT (CTR)'!S61</f>
        <v>2.19496481997234E-2</v>
      </c>
      <c r="BP105" s="572">
        <f>'CT (CTR)'!T61</f>
        <v>3.8562196199288898E-2</v>
      </c>
      <c r="BQ105" s="572">
        <f>'CT (CTR)'!U61</f>
        <v>0</v>
      </c>
      <c r="BR105" s="572">
        <f>'CT (CTR)'!V61</f>
        <v>0</v>
      </c>
      <c r="BS105" s="572">
        <f>'CT (CTR)'!W61</f>
        <v>0</v>
      </c>
      <c r="BT105" s="572">
        <f>'CT (CTR)'!X61</f>
        <v>0</v>
      </c>
      <c r="BU105" s="572">
        <f>'CT (CTR)'!Y61</f>
        <v>0</v>
      </c>
      <c r="BV105" s="572">
        <f>'CT (CTR)'!Z61</f>
        <v>0</v>
      </c>
      <c r="BW105" s="572">
        <f>'CT (CTR)'!AA61</f>
        <v>0</v>
      </c>
      <c r="BX105" s="572">
        <f>'CT (CTR)'!AB61</f>
        <v>0</v>
      </c>
      <c r="BY105" s="572">
        <f>'CT (CTR)'!AC61</f>
        <v>0</v>
      </c>
      <c r="BZ105" s="572">
        <f>'CT (CTR)'!AD61</f>
        <v>0</v>
      </c>
      <c r="CA105" s="572">
        <f>'CT (CTR)'!AE61</f>
        <v>0</v>
      </c>
    </row>
    <row r="106" spans="1:79" x14ac:dyDescent="0.2">
      <c r="A106" s="689" t="str">
        <f t="shared" si="26"/>
        <v>FORA PONTA</v>
      </c>
      <c r="B106" s="571">
        <f t="shared" si="25"/>
        <v>1.6666666666666676</v>
      </c>
      <c r="C106" s="566" t="s">
        <v>358</v>
      </c>
      <c r="D106" s="569">
        <v>23</v>
      </c>
      <c r="E106" s="572">
        <f>'CT (CTR)'!G130</f>
        <v>0</v>
      </c>
      <c r="F106" s="572">
        <f>'CT (CTR)'!H130</f>
        <v>0</v>
      </c>
      <c r="G106" s="572">
        <f>'CT (CTR)'!I130</f>
        <v>0</v>
      </c>
      <c r="H106" s="572">
        <f>'CT (CTR)'!J130</f>
        <v>0</v>
      </c>
      <c r="I106" s="572">
        <f>'CT (CTR)'!K130</f>
        <v>0</v>
      </c>
      <c r="J106" s="572">
        <f>'CT (CTR)'!L130</f>
        <v>0</v>
      </c>
      <c r="K106" s="572">
        <f>'CT (CTR)'!M130</f>
        <v>0</v>
      </c>
      <c r="L106" s="572">
        <f>'CT (CTR)'!N130</f>
        <v>0</v>
      </c>
      <c r="M106" s="572">
        <f>'CT (CTR)'!O130</f>
        <v>0</v>
      </c>
      <c r="N106" s="572">
        <f>'CT (CTR)'!P130</f>
        <v>0</v>
      </c>
      <c r="O106" s="572">
        <f>'CT (CTR)'!Q130</f>
        <v>0</v>
      </c>
      <c r="P106" s="572">
        <f>'CT (CTR)'!R130</f>
        <v>0</v>
      </c>
      <c r="Q106" s="572">
        <f>'CT (CTR)'!S130</f>
        <v>0</v>
      </c>
      <c r="R106" s="572">
        <f>'CT (CTR)'!T130</f>
        <v>0</v>
      </c>
      <c r="S106" s="572">
        <f>'CT (CTR)'!U130</f>
        <v>0</v>
      </c>
      <c r="T106" s="572">
        <f>'CT (CTR)'!V130</f>
        <v>0</v>
      </c>
      <c r="U106" s="572">
        <f>'CT (CTR)'!W130</f>
        <v>0</v>
      </c>
      <c r="V106" s="572">
        <f>'CT (CTR)'!X130</f>
        <v>0</v>
      </c>
      <c r="W106" s="572">
        <f>'CT (CTR)'!Y130</f>
        <v>0</v>
      </c>
      <c r="X106" s="572">
        <f>'CT (CTR)'!Z130</f>
        <v>0</v>
      </c>
      <c r="Y106" s="572">
        <f>'CT (CTR)'!AA130</f>
        <v>0</v>
      </c>
      <c r="Z106" s="572">
        <f>'CT (CTR)'!AB130</f>
        <v>0</v>
      </c>
      <c r="AA106" s="572">
        <f>'CT (CTR)'!AC130</f>
        <v>0</v>
      </c>
      <c r="AB106" s="572">
        <f>'CT (CTR)'!AD130</f>
        <v>0</v>
      </c>
      <c r="AC106" s="572">
        <f>'CT (CTR)'!AE130</f>
        <v>0</v>
      </c>
      <c r="AD106" s="572">
        <f>'CT (CTR)'!G96</f>
        <v>0</v>
      </c>
      <c r="AE106" s="572">
        <f>'CT (CTR)'!H96</f>
        <v>0</v>
      </c>
      <c r="AF106" s="572">
        <f>'CT (CTR)'!I96</f>
        <v>0</v>
      </c>
      <c r="AG106" s="572">
        <f>'CT (CTR)'!J96</f>
        <v>0</v>
      </c>
      <c r="AH106" s="572">
        <f>'CT (CTR)'!K96</f>
        <v>0</v>
      </c>
      <c r="AI106" s="572">
        <f>'CT (CTR)'!L96</f>
        <v>0</v>
      </c>
      <c r="AJ106" s="572">
        <f>'CT (CTR)'!M96</f>
        <v>0</v>
      </c>
      <c r="AK106" s="572">
        <f>'CT (CTR)'!N96</f>
        <v>0</v>
      </c>
      <c r="AL106" s="572">
        <f>'CT (CTR)'!O96</f>
        <v>0</v>
      </c>
      <c r="AM106" s="572">
        <f>'CT (CTR)'!P96</f>
        <v>0</v>
      </c>
      <c r="AN106" s="572">
        <f>'CT (CTR)'!Q96</f>
        <v>0</v>
      </c>
      <c r="AO106" s="572">
        <f>'CT (CTR)'!R96</f>
        <v>0</v>
      </c>
      <c r="AP106" s="572">
        <f>'CT (CTR)'!S96</f>
        <v>0</v>
      </c>
      <c r="AQ106" s="572">
        <f>'CT (CTR)'!T96</f>
        <v>0</v>
      </c>
      <c r="AR106" s="572">
        <f>'CT (CTR)'!U96</f>
        <v>0</v>
      </c>
      <c r="AS106" s="572">
        <f>'CT (CTR)'!V96</f>
        <v>0</v>
      </c>
      <c r="AT106" s="572">
        <f>'CT (CTR)'!W96</f>
        <v>0</v>
      </c>
      <c r="AU106" s="572">
        <f>'CT (CTR)'!X96</f>
        <v>0</v>
      </c>
      <c r="AV106" s="572">
        <f>'CT (CTR)'!Y96</f>
        <v>0</v>
      </c>
      <c r="AW106" s="572">
        <f>'CT (CTR)'!Z96</f>
        <v>0</v>
      </c>
      <c r="AX106" s="572">
        <f>'CT (CTR)'!AA96</f>
        <v>0</v>
      </c>
      <c r="AY106" s="572">
        <f>'CT (CTR)'!AB96</f>
        <v>0</v>
      </c>
      <c r="AZ106" s="572">
        <f>'CT (CTR)'!AC96</f>
        <v>0</v>
      </c>
      <c r="BA106" s="572">
        <f>'CT (CTR)'!AD96</f>
        <v>0</v>
      </c>
      <c r="BB106" s="572">
        <f>'CT (CTR)'!AE96</f>
        <v>0</v>
      </c>
      <c r="BC106" s="572">
        <f>'CT (CTR)'!G62</f>
        <v>2.1757001944041798</v>
      </c>
      <c r="BD106" s="572">
        <f>'CT (CTR)'!H62</f>
        <v>0.40052960298407098</v>
      </c>
      <c r="BE106" s="572">
        <f>'CT (CTR)'!I62</f>
        <v>0.204506478348642</v>
      </c>
      <c r="BF106" s="572">
        <f>'CT (CTR)'!J62</f>
        <v>0.42747866448857202</v>
      </c>
      <c r="BG106" s="572">
        <f>'CT (CTR)'!K62</f>
        <v>0.25170851731022398</v>
      </c>
      <c r="BH106" s="572">
        <f>'CT (CTR)'!L62</f>
        <v>0.25681500206963398</v>
      </c>
      <c r="BI106" s="572">
        <f>'CT (CTR)'!M62</f>
        <v>0.162773319839075</v>
      </c>
      <c r="BJ106" s="572">
        <f>'CT (CTR)'!N62</f>
        <v>0.24881758803513801</v>
      </c>
      <c r="BK106" s="572">
        <f>'CT (CTR)'!O62</f>
        <v>1.4825278333771899E-4</v>
      </c>
      <c r="BL106" s="572">
        <f>'CT (CTR)'!P62</f>
        <v>0.23331693591060601</v>
      </c>
      <c r="BM106" s="572">
        <f>'CT (CTR)'!Q62</f>
        <v>0.207899819833928</v>
      </c>
      <c r="BN106" s="572">
        <f>'CT (CTR)'!R62</f>
        <v>8.2263822220951993E-2</v>
      </c>
      <c r="BO106" s="572">
        <f>'CT (CTR)'!S62</f>
        <v>1.9322279428349399E-2</v>
      </c>
      <c r="BP106" s="572">
        <f>'CT (CTR)'!T62</f>
        <v>2.7591490232297702E-2</v>
      </c>
      <c r="BQ106" s="572">
        <f>'CT (CTR)'!U62</f>
        <v>0</v>
      </c>
      <c r="BR106" s="572">
        <f>'CT (CTR)'!V62</f>
        <v>0</v>
      </c>
      <c r="BS106" s="572">
        <f>'CT (CTR)'!W62</f>
        <v>0</v>
      </c>
      <c r="BT106" s="572">
        <f>'CT (CTR)'!X62</f>
        <v>0</v>
      </c>
      <c r="BU106" s="572">
        <f>'CT (CTR)'!Y62</f>
        <v>0</v>
      </c>
      <c r="BV106" s="572">
        <f>'CT (CTR)'!Z62</f>
        <v>0</v>
      </c>
      <c r="BW106" s="572">
        <f>'CT (CTR)'!AA62</f>
        <v>0</v>
      </c>
      <c r="BX106" s="572">
        <f>'CT (CTR)'!AB62</f>
        <v>0</v>
      </c>
      <c r="BY106" s="572">
        <f>'CT (CTR)'!AC62</f>
        <v>0</v>
      </c>
      <c r="BZ106" s="572">
        <f>'CT (CTR)'!AD62</f>
        <v>0</v>
      </c>
      <c r="CA106" s="572">
        <f>'CT (CTR)'!AE62</f>
        <v>0</v>
      </c>
    </row>
    <row r="107" spans="1:79" x14ac:dyDescent="0.2">
      <c r="A107" s="691" t="str">
        <f t="shared" si="26"/>
        <v>INTERMED</v>
      </c>
      <c r="B107" s="571">
        <f t="shared" si="25"/>
        <v>1.7083333333333344</v>
      </c>
      <c r="C107" s="566" t="s">
        <v>358</v>
      </c>
      <c r="D107" s="569">
        <v>24</v>
      </c>
      <c r="E107" s="572">
        <f>'CT (CTR)'!G131</f>
        <v>0</v>
      </c>
      <c r="F107" s="572">
        <f>'CT (CTR)'!H131</f>
        <v>0</v>
      </c>
      <c r="G107" s="572">
        <f>'CT (CTR)'!I131</f>
        <v>0</v>
      </c>
      <c r="H107" s="572">
        <f>'CT (CTR)'!J131</f>
        <v>0</v>
      </c>
      <c r="I107" s="572">
        <f>'CT (CTR)'!K131</f>
        <v>0</v>
      </c>
      <c r="J107" s="572">
        <f>'CT (CTR)'!L131</f>
        <v>0</v>
      </c>
      <c r="K107" s="572">
        <f>'CT (CTR)'!M131</f>
        <v>0</v>
      </c>
      <c r="L107" s="572">
        <f>'CT (CTR)'!N131</f>
        <v>0</v>
      </c>
      <c r="M107" s="572">
        <f>'CT (CTR)'!O131</f>
        <v>0</v>
      </c>
      <c r="N107" s="572">
        <f>'CT (CTR)'!P131</f>
        <v>0</v>
      </c>
      <c r="O107" s="572">
        <f>'CT (CTR)'!Q131</f>
        <v>0</v>
      </c>
      <c r="P107" s="572">
        <f>'CT (CTR)'!R131</f>
        <v>0</v>
      </c>
      <c r="Q107" s="572">
        <f>'CT (CTR)'!S131</f>
        <v>0</v>
      </c>
      <c r="R107" s="572">
        <f>'CT (CTR)'!T131</f>
        <v>0</v>
      </c>
      <c r="S107" s="572">
        <f>'CT (CTR)'!U131</f>
        <v>0</v>
      </c>
      <c r="T107" s="572">
        <f>'CT (CTR)'!V131</f>
        <v>0</v>
      </c>
      <c r="U107" s="572">
        <f>'CT (CTR)'!W131</f>
        <v>0</v>
      </c>
      <c r="V107" s="572">
        <f>'CT (CTR)'!X131</f>
        <v>0</v>
      </c>
      <c r="W107" s="572">
        <f>'CT (CTR)'!Y131</f>
        <v>0</v>
      </c>
      <c r="X107" s="572">
        <f>'CT (CTR)'!Z131</f>
        <v>0</v>
      </c>
      <c r="Y107" s="572">
        <f>'CT (CTR)'!AA131</f>
        <v>0</v>
      </c>
      <c r="Z107" s="572">
        <f>'CT (CTR)'!AB131</f>
        <v>0</v>
      </c>
      <c r="AA107" s="572">
        <f>'CT (CTR)'!AC131</f>
        <v>0</v>
      </c>
      <c r="AB107" s="572">
        <f>'CT (CTR)'!AD131</f>
        <v>0</v>
      </c>
      <c r="AC107" s="572">
        <f>'CT (CTR)'!AE131</f>
        <v>0</v>
      </c>
      <c r="AD107" s="572">
        <f>'CT (CTR)'!G97</f>
        <v>0</v>
      </c>
      <c r="AE107" s="572">
        <f>'CT (CTR)'!H97</f>
        <v>0</v>
      </c>
      <c r="AF107" s="572">
        <f>'CT (CTR)'!I97</f>
        <v>0</v>
      </c>
      <c r="AG107" s="572">
        <f>'CT (CTR)'!J97</f>
        <v>0</v>
      </c>
      <c r="AH107" s="572">
        <f>'CT (CTR)'!K97</f>
        <v>0</v>
      </c>
      <c r="AI107" s="572">
        <f>'CT (CTR)'!L97</f>
        <v>0</v>
      </c>
      <c r="AJ107" s="572">
        <f>'CT (CTR)'!M97</f>
        <v>0</v>
      </c>
      <c r="AK107" s="572">
        <f>'CT (CTR)'!N97</f>
        <v>0</v>
      </c>
      <c r="AL107" s="572">
        <f>'CT (CTR)'!O97</f>
        <v>0</v>
      </c>
      <c r="AM107" s="572">
        <f>'CT (CTR)'!P97</f>
        <v>0</v>
      </c>
      <c r="AN107" s="572">
        <f>'CT (CTR)'!Q97</f>
        <v>0</v>
      </c>
      <c r="AO107" s="572">
        <f>'CT (CTR)'!R97</f>
        <v>0</v>
      </c>
      <c r="AP107" s="572">
        <f>'CT (CTR)'!S97</f>
        <v>0</v>
      </c>
      <c r="AQ107" s="572">
        <f>'CT (CTR)'!T97</f>
        <v>0</v>
      </c>
      <c r="AR107" s="572">
        <f>'CT (CTR)'!U97</f>
        <v>0</v>
      </c>
      <c r="AS107" s="572">
        <f>'CT (CTR)'!V97</f>
        <v>0</v>
      </c>
      <c r="AT107" s="572">
        <f>'CT (CTR)'!W97</f>
        <v>0</v>
      </c>
      <c r="AU107" s="572">
        <f>'CT (CTR)'!X97</f>
        <v>0</v>
      </c>
      <c r="AV107" s="572">
        <f>'CT (CTR)'!Y97</f>
        <v>0</v>
      </c>
      <c r="AW107" s="572">
        <f>'CT (CTR)'!Z97</f>
        <v>0</v>
      </c>
      <c r="AX107" s="572">
        <f>'CT (CTR)'!AA97</f>
        <v>0</v>
      </c>
      <c r="AY107" s="572">
        <f>'CT (CTR)'!AB97</f>
        <v>0</v>
      </c>
      <c r="AZ107" s="572">
        <f>'CT (CTR)'!AC97</f>
        <v>0</v>
      </c>
      <c r="BA107" s="572">
        <f>'CT (CTR)'!AD97</f>
        <v>0</v>
      </c>
      <c r="BB107" s="572">
        <f>'CT (CTR)'!AE97</f>
        <v>0</v>
      </c>
      <c r="BC107" s="572">
        <f>'CT (CTR)'!G63</f>
        <v>1.74040531372741</v>
      </c>
      <c r="BD107" s="572">
        <f>'CT (CTR)'!H63</f>
        <v>0.41981070108371499</v>
      </c>
      <c r="BE107" s="572">
        <f>'CT (CTR)'!I63</f>
        <v>8.74609059035132E-2</v>
      </c>
      <c r="BF107" s="572">
        <f>'CT (CTR)'!J63</f>
        <v>0.40980363820841897</v>
      </c>
      <c r="BG107" s="572">
        <f>'CT (CTR)'!K63</f>
        <v>0.38703859970033799</v>
      </c>
      <c r="BH107" s="572">
        <f>'CT (CTR)'!L63</f>
        <v>0.27696914433782299</v>
      </c>
      <c r="BI107" s="572">
        <f>'CT (CTR)'!M63</f>
        <v>0.167566826500327</v>
      </c>
      <c r="BJ107" s="572">
        <f>'CT (CTR)'!N63</f>
        <v>0.330924921207012</v>
      </c>
      <c r="BK107" s="572">
        <f>'CT (CTR)'!O63</f>
        <v>5.6426656591484103E-2</v>
      </c>
      <c r="BL107" s="572">
        <f>'CT (CTR)'!P63</f>
        <v>0.19226738745753999</v>
      </c>
      <c r="BM107" s="572">
        <f>'CT (CTR)'!Q63</f>
        <v>0.173752262071807</v>
      </c>
      <c r="BN107" s="572">
        <f>'CT (CTR)'!R63</f>
        <v>4.9499957103316103E-2</v>
      </c>
      <c r="BO107" s="572">
        <f>'CT (CTR)'!S63</f>
        <v>0.123272189345313</v>
      </c>
      <c r="BP107" s="572">
        <f>'CT (CTR)'!T63</f>
        <v>3.4715860098249202E-2</v>
      </c>
      <c r="BQ107" s="572">
        <f>'CT (CTR)'!U63</f>
        <v>0</v>
      </c>
      <c r="BR107" s="572">
        <f>'CT (CTR)'!V63</f>
        <v>0</v>
      </c>
      <c r="BS107" s="572">
        <f>'CT (CTR)'!W63</f>
        <v>0</v>
      </c>
      <c r="BT107" s="572">
        <f>'CT (CTR)'!X63</f>
        <v>0</v>
      </c>
      <c r="BU107" s="572">
        <f>'CT (CTR)'!Y63</f>
        <v>0</v>
      </c>
      <c r="BV107" s="572">
        <f>'CT (CTR)'!Z63</f>
        <v>0</v>
      </c>
      <c r="BW107" s="572">
        <f>'CT (CTR)'!AA63</f>
        <v>0</v>
      </c>
      <c r="BX107" s="572">
        <f>'CT (CTR)'!AB63</f>
        <v>0</v>
      </c>
      <c r="BY107" s="572">
        <f>'CT (CTR)'!AC63</f>
        <v>0</v>
      </c>
      <c r="BZ107" s="572">
        <f>'CT (CTR)'!AD63</f>
        <v>0</v>
      </c>
      <c r="CA107" s="572">
        <f>'CT (CTR)'!AE63</f>
        <v>0</v>
      </c>
    </row>
    <row r="108" spans="1:79" x14ac:dyDescent="0.2">
      <c r="B108" s="427"/>
      <c r="D108" s="573" t="s">
        <v>701</v>
      </c>
      <c r="E108" s="572">
        <f>'CT (CTR)'!G134</f>
        <v>0</v>
      </c>
      <c r="F108" s="572">
        <f>'CT (CTR)'!H134</f>
        <v>0</v>
      </c>
      <c r="G108" s="572">
        <f>'CT (CTR)'!I134</f>
        <v>0</v>
      </c>
      <c r="H108" s="572">
        <f>'CT (CTR)'!J134</f>
        <v>0</v>
      </c>
      <c r="I108" s="572">
        <f>'CT (CTR)'!K134</f>
        <v>0</v>
      </c>
      <c r="J108" s="572">
        <f>'CT (CTR)'!L134</f>
        <v>0</v>
      </c>
      <c r="K108" s="572">
        <f>'CT (CTR)'!M134</f>
        <v>0</v>
      </c>
      <c r="L108" s="572">
        <f>'CT (CTR)'!N134</f>
        <v>0</v>
      </c>
      <c r="M108" s="572">
        <f>'CT (CTR)'!O134</f>
        <v>0</v>
      </c>
      <c r="N108" s="572">
        <f>'CT (CTR)'!P134</f>
        <v>0</v>
      </c>
      <c r="O108" s="572">
        <f>'CT (CTR)'!Q134</f>
        <v>0</v>
      </c>
      <c r="P108" s="572">
        <f>'CT (CTR)'!R134</f>
        <v>0</v>
      </c>
      <c r="Q108" s="572">
        <f>'CT (CTR)'!S134</f>
        <v>0</v>
      </c>
      <c r="R108" s="572">
        <f>'CT (CTR)'!T134</f>
        <v>0</v>
      </c>
      <c r="S108" s="572">
        <f>'CT (CTR)'!U134</f>
        <v>0</v>
      </c>
      <c r="T108" s="572">
        <f>'CT (CTR)'!V134</f>
        <v>0</v>
      </c>
      <c r="U108" s="572">
        <f>'CT (CTR)'!W134</f>
        <v>0</v>
      </c>
      <c r="V108" s="572">
        <f>'CT (CTR)'!X134</f>
        <v>0</v>
      </c>
      <c r="W108" s="572">
        <f>'CT (CTR)'!Y134</f>
        <v>0</v>
      </c>
      <c r="X108" s="572">
        <f>'CT (CTR)'!Z134</f>
        <v>0</v>
      </c>
      <c r="Y108" s="572">
        <f>'CT (CTR)'!AA134</f>
        <v>0</v>
      </c>
      <c r="Z108" s="572">
        <f>'CT (CTR)'!AB134</f>
        <v>0</v>
      </c>
      <c r="AA108" s="572">
        <f>'CT (CTR)'!AC134</f>
        <v>0</v>
      </c>
      <c r="AB108" s="572">
        <f>'CT (CTR)'!AD134</f>
        <v>0</v>
      </c>
      <c r="AC108" s="572">
        <f>'CT (CTR)'!AE134</f>
        <v>0</v>
      </c>
      <c r="AD108" s="572">
        <f>'CT (CTR)'!G100</f>
        <v>0</v>
      </c>
      <c r="AE108" s="572">
        <f>'CT (CTR)'!H100</f>
        <v>0</v>
      </c>
      <c r="AF108" s="572">
        <f>'CT (CTR)'!I100</f>
        <v>0</v>
      </c>
      <c r="AG108" s="572">
        <f>'CT (CTR)'!J100</f>
        <v>0</v>
      </c>
      <c r="AH108" s="572">
        <f>'CT (CTR)'!K100</f>
        <v>0</v>
      </c>
      <c r="AI108" s="572">
        <f>'CT (CTR)'!L100</f>
        <v>0</v>
      </c>
      <c r="AJ108" s="572">
        <f>'CT (CTR)'!M100</f>
        <v>0</v>
      </c>
      <c r="AK108" s="572">
        <f>'CT (CTR)'!N100</f>
        <v>0</v>
      </c>
      <c r="AL108" s="572">
        <f>'CT (CTR)'!O100</f>
        <v>0</v>
      </c>
      <c r="AM108" s="572">
        <f>'CT (CTR)'!P100</f>
        <v>0</v>
      </c>
      <c r="AN108" s="572">
        <f>'CT (CTR)'!Q100</f>
        <v>0</v>
      </c>
      <c r="AO108" s="572">
        <f>'CT (CTR)'!R100</f>
        <v>0</v>
      </c>
      <c r="AP108" s="572">
        <f>'CT (CTR)'!S100</f>
        <v>0</v>
      </c>
      <c r="AQ108" s="572">
        <f>'CT (CTR)'!T100</f>
        <v>0</v>
      </c>
      <c r="AR108" s="572">
        <f>'CT (CTR)'!U100</f>
        <v>0</v>
      </c>
      <c r="AS108" s="572">
        <f>'CT (CTR)'!V100</f>
        <v>0</v>
      </c>
      <c r="AT108" s="572">
        <f>'CT (CTR)'!W100</f>
        <v>0</v>
      </c>
      <c r="AU108" s="572">
        <f>'CT (CTR)'!X100</f>
        <v>0</v>
      </c>
      <c r="AV108" s="572">
        <f>'CT (CTR)'!Y100</f>
        <v>0</v>
      </c>
      <c r="AW108" s="572">
        <f>'CT (CTR)'!Z100</f>
        <v>0</v>
      </c>
      <c r="AX108" s="572">
        <f>'CT (CTR)'!AA100</f>
        <v>0</v>
      </c>
      <c r="AY108" s="572">
        <f>'CT (CTR)'!AB100</f>
        <v>0</v>
      </c>
      <c r="AZ108" s="572">
        <f>'CT (CTR)'!AC100</f>
        <v>0</v>
      </c>
      <c r="BA108" s="572">
        <f>'CT (CTR)'!AD100</f>
        <v>0</v>
      </c>
      <c r="BB108" s="572">
        <f>'CT (CTR)'!AE100</f>
        <v>0</v>
      </c>
      <c r="BC108" s="572">
        <f>'CT (CTR)'!G66</f>
        <v>0.52153651794850797</v>
      </c>
      <c r="BD108" s="572">
        <f>'CT (CTR)'!H66</f>
        <v>0.86538828578508598</v>
      </c>
      <c r="BE108" s="572">
        <f>'CT (CTR)'!I66</f>
        <v>1.1964896470102799</v>
      </c>
      <c r="BF108" s="572">
        <f>'CT (CTR)'!J66</f>
        <v>0.90083477382199295</v>
      </c>
      <c r="BG108" s="572">
        <f>'CT (CTR)'!K66</f>
        <v>1.29993375916726</v>
      </c>
      <c r="BH108" s="572">
        <f>'CT (CTR)'!L66</f>
        <v>1.0875010953484501</v>
      </c>
      <c r="BI108" s="572">
        <f>'CT (CTR)'!M66</f>
        <v>1.0066246330315001</v>
      </c>
      <c r="BJ108" s="572">
        <f>'CT (CTR)'!N66</f>
        <v>1.1469084788775901</v>
      </c>
      <c r="BK108" s="572">
        <f>'CT (CTR)'!O66</f>
        <v>0.78501844339591198</v>
      </c>
      <c r="BL108" s="572">
        <f>'CT (CTR)'!P66</f>
        <v>0.387124320732256</v>
      </c>
      <c r="BM108" s="572">
        <f>'CT (CTR)'!Q66</f>
        <v>0.77574291051112199</v>
      </c>
      <c r="BN108" s="572">
        <f>'CT (CTR)'!R66</f>
        <v>0.60005248527496502</v>
      </c>
      <c r="BO108" s="572">
        <f>'CT (CTR)'!S66</f>
        <v>1.2501123179788101</v>
      </c>
      <c r="BP108" s="572">
        <f>'CT (CTR)'!T66</f>
        <v>1.05562828677303</v>
      </c>
      <c r="BQ108" s="572">
        <f>'CT (CTR)'!U66</f>
        <v>0</v>
      </c>
      <c r="BR108" s="572">
        <f>'CT (CTR)'!V66</f>
        <v>0</v>
      </c>
      <c r="BS108" s="572">
        <f>'CT (CTR)'!W66</f>
        <v>0</v>
      </c>
      <c r="BT108" s="572">
        <f>'CT (CTR)'!X66</f>
        <v>0</v>
      </c>
      <c r="BU108" s="572">
        <f>'CT (CTR)'!Y66</f>
        <v>0</v>
      </c>
      <c r="BV108" s="572">
        <f>'CT (CTR)'!Z66</f>
        <v>0</v>
      </c>
      <c r="BW108" s="572">
        <f>'CT (CTR)'!AA66</f>
        <v>0</v>
      </c>
      <c r="BX108" s="572">
        <f>'CT (CTR)'!AB66</f>
        <v>0</v>
      </c>
      <c r="BY108" s="572">
        <f>'CT (CTR)'!AC66</f>
        <v>0</v>
      </c>
      <c r="BZ108" s="572">
        <f>'CT (CTR)'!AD66</f>
        <v>0</v>
      </c>
      <c r="CA108" s="572">
        <f>'CT (CTR)'!AE66</f>
        <v>0</v>
      </c>
    </row>
    <row r="109" spans="1:79" x14ac:dyDescent="0.2">
      <c r="B109" s="427"/>
      <c r="D109" s="573" t="s">
        <v>702</v>
      </c>
      <c r="E109" s="572">
        <f>'CT (CTR)'!G135</f>
        <v>0</v>
      </c>
      <c r="F109" s="572">
        <f>'CT (CTR)'!H135</f>
        <v>0</v>
      </c>
      <c r="G109" s="572">
        <f>'CT (CTR)'!I135</f>
        <v>0</v>
      </c>
      <c r="H109" s="572">
        <f>'CT (CTR)'!J135</f>
        <v>0</v>
      </c>
      <c r="I109" s="572">
        <f>'CT (CTR)'!K135</f>
        <v>0</v>
      </c>
      <c r="J109" s="572">
        <f>'CT (CTR)'!L135</f>
        <v>0</v>
      </c>
      <c r="K109" s="572">
        <f>'CT (CTR)'!M135</f>
        <v>0</v>
      </c>
      <c r="L109" s="572">
        <f>'CT (CTR)'!N135</f>
        <v>0</v>
      </c>
      <c r="M109" s="572">
        <f>'CT (CTR)'!O135</f>
        <v>0</v>
      </c>
      <c r="N109" s="572">
        <f>'CT (CTR)'!P135</f>
        <v>0</v>
      </c>
      <c r="O109" s="572">
        <f>'CT (CTR)'!Q135</f>
        <v>0</v>
      </c>
      <c r="P109" s="572">
        <f>'CT (CTR)'!R135</f>
        <v>0</v>
      </c>
      <c r="Q109" s="572">
        <f>'CT (CTR)'!S135</f>
        <v>0</v>
      </c>
      <c r="R109" s="572">
        <f>'CT (CTR)'!T135</f>
        <v>0</v>
      </c>
      <c r="S109" s="572">
        <f>'CT (CTR)'!U135</f>
        <v>0</v>
      </c>
      <c r="T109" s="572">
        <f>'CT (CTR)'!V135</f>
        <v>0</v>
      </c>
      <c r="U109" s="572">
        <f>'CT (CTR)'!W135</f>
        <v>0</v>
      </c>
      <c r="V109" s="572">
        <f>'CT (CTR)'!X135</f>
        <v>0</v>
      </c>
      <c r="W109" s="572">
        <f>'CT (CTR)'!Y135</f>
        <v>0</v>
      </c>
      <c r="X109" s="572">
        <f>'CT (CTR)'!Z135</f>
        <v>0</v>
      </c>
      <c r="Y109" s="572">
        <f>'CT (CTR)'!AA135</f>
        <v>0</v>
      </c>
      <c r="Z109" s="572">
        <f>'CT (CTR)'!AB135</f>
        <v>0</v>
      </c>
      <c r="AA109" s="572">
        <f>'CT (CTR)'!AC135</f>
        <v>0</v>
      </c>
      <c r="AB109" s="572">
        <f>'CT (CTR)'!AD135</f>
        <v>0</v>
      </c>
      <c r="AC109" s="572">
        <f>'CT (CTR)'!AE135</f>
        <v>0</v>
      </c>
      <c r="AD109" s="572">
        <f>'CT (CTR)'!G101</f>
        <v>0</v>
      </c>
      <c r="AE109" s="572">
        <f>'CT (CTR)'!H101</f>
        <v>0</v>
      </c>
      <c r="AF109" s="572">
        <f>'CT (CTR)'!I101</f>
        <v>0</v>
      </c>
      <c r="AG109" s="572">
        <f>'CT (CTR)'!J101</f>
        <v>0</v>
      </c>
      <c r="AH109" s="572">
        <f>'CT (CTR)'!K101</f>
        <v>0</v>
      </c>
      <c r="AI109" s="572">
        <f>'CT (CTR)'!L101</f>
        <v>0</v>
      </c>
      <c r="AJ109" s="572">
        <f>'CT (CTR)'!M101</f>
        <v>0</v>
      </c>
      <c r="AK109" s="572">
        <f>'CT (CTR)'!N101</f>
        <v>0</v>
      </c>
      <c r="AL109" s="572">
        <f>'CT (CTR)'!O101</f>
        <v>0</v>
      </c>
      <c r="AM109" s="572">
        <f>'CT (CTR)'!P101</f>
        <v>0</v>
      </c>
      <c r="AN109" s="572">
        <f>'CT (CTR)'!Q101</f>
        <v>0</v>
      </c>
      <c r="AO109" s="572">
        <f>'CT (CTR)'!R101</f>
        <v>0</v>
      </c>
      <c r="AP109" s="572">
        <f>'CT (CTR)'!S101</f>
        <v>0</v>
      </c>
      <c r="AQ109" s="572">
        <f>'CT (CTR)'!T101</f>
        <v>0</v>
      </c>
      <c r="AR109" s="572">
        <f>'CT (CTR)'!U101</f>
        <v>0</v>
      </c>
      <c r="AS109" s="572">
        <f>'CT (CTR)'!V101</f>
        <v>0</v>
      </c>
      <c r="AT109" s="572">
        <f>'CT (CTR)'!W101</f>
        <v>0</v>
      </c>
      <c r="AU109" s="572">
        <f>'CT (CTR)'!X101</f>
        <v>0</v>
      </c>
      <c r="AV109" s="572">
        <f>'CT (CTR)'!Y101</f>
        <v>0</v>
      </c>
      <c r="AW109" s="572">
        <f>'CT (CTR)'!Z101</f>
        <v>0</v>
      </c>
      <c r="AX109" s="572">
        <f>'CT (CTR)'!AA101</f>
        <v>0</v>
      </c>
      <c r="AY109" s="572">
        <f>'CT (CTR)'!AB101</f>
        <v>0</v>
      </c>
      <c r="AZ109" s="572">
        <f>'CT (CTR)'!AC101</f>
        <v>0</v>
      </c>
      <c r="BA109" s="572">
        <f>'CT (CTR)'!AD101</f>
        <v>0</v>
      </c>
      <c r="BB109" s="572">
        <f>'CT (CTR)'!AE101</f>
        <v>0</v>
      </c>
      <c r="BC109" s="572">
        <f>'CT (CTR)'!G67</f>
        <v>0.30533182670083298</v>
      </c>
      <c r="BD109" s="572">
        <f>'CT (CTR)'!H67</f>
        <v>0.63494334807847497</v>
      </c>
      <c r="BE109" s="572">
        <f>'CT (CTR)'!I67</f>
        <v>0.89639626923202198</v>
      </c>
      <c r="BF109" s="572">
        <f>'CT (CTR)'!J67</f>
        <v>0.50829806619719498</v>
      </c>
      <c r="BG109" s="572">
        <f>'CT (CTR)'!K67</f>
        <v>0.98298083747338505</v>
      </c>
      <c r="BH109" s="572">
        <f>'CT (CTR)'!L67</f>
        <v>0.78176370677102403</v>
      </c>
      <c r="BI109" s="572">
        <f>'CT (CTR)'!M67</f>
        <v>0.92567231106541603</v>
      </c>
      <c r="BJ109" s="572">
        <f>'CT (CTR)'!N67</f>
        <v>0.98026811043941098</v>
      </c>
      <c r="BK109" s="572">
        <f>'CT (CTR)'!O67</f>
        <v>0.76503199914735998</v>
      </c>
      <c r="BL109" s="572">
        <f>'CT (CTR)'!P67</f>
        <v>2.6260541483421199E-3</v>
      </c>
      <c r="BM109" s="572">
        <f>'CT (CTR)'!Q67</f>
        <v>0.27026659874342002</v>
      </c>
      <c r="BN109" s="572">
        <f>'CT (CTR)'!R67</f>
        <v>0.56623836090430202</v>
      </c>
      <c r="BO109" s="572">
        <f>'CT (CTR)'!S67</f>
        <v>0.95936467665636005</v>
      </c>
      <c r="BP109" s="572">
        <f>'CT (CTR)'!T67</f>
        <v>0.63678523087847005</v>
      </c>
      <c r="BQ109" s="572">
        <f>'CT (CTR)'!U67</f>
        <v>0</v>
      </c>
      <c r="BR109" s="572">
        <f>'CT (CTR)'!V67</f>
        <v>0</v>
      </c>
      <c r="BS109" s="572">
        <f>'CT (CTR)'!W67</f>
        <v>0</v>
      </c>
      <c r="BT109" s="572">
        <f>'CT (CTR)'!X67</f>
        <v>0</v>
      </c>
      <c r="BU109" s="572">
        <f>'CT (CTR)'!Y67</f>
        <v>0</v>
      </c>
      <c r="BV109" s="572">
        <f>'CT (CTR)'!Z67</f>
        <v>0</v>
      </c>
      <c r="BW109" s="572">
        <f>'CT (CTR)'!AA67</f>
        <v>0</v>
      </c>
      <c r="BX109" s="572">
        <f>'CT (CTR)'!AB67</f>
        <v>0</v>
      </c>
      <c r="BY109" s="572">
        <f>'CT (CTR)'!AC67</f>
        <v>0</v>
      </c>
      <c r="BZ109" s="572">
        <f>'CT (CTR)'!AD67</f>
        <v>0</v>
      </c>
      <c r="CA109" s="572">
        <f>'CT (CTR)'!AE67</f>
        <v>0</v>
      </c>
    </row>
    <row r="110" spans="1:79" x14ac:dyDescent="0.2">
      <c r="B110" s="427"/>
      <c r="D110" s="573" t="s">
        <v>703</v>
      </c>
      <c r="E110" s="572">
        <f>'CT (CTR)'!G136</f>
        <v>0</v>
      </c>
      <c r="F110" s="572">
        <f>'CT (CTR)'!H136</f>
        <v>0</v>
      </c>
      <c r="G110" s="572">
        <f>'CT (CTR)'!I136</f>
        <v>0</v>
      </c>
      <c r="H110" s="572">
        <f>'CT (CTR)'!J136</f>
        <v>0</v>
      </c>
      <c r="I110" s="572">
        <f>'CT (CTR)'!K136</f>
        <v>0</v>
      </c>
      <c r="J110" s="572">
        <f>'CT (CTR)'!L136</f>
        <v>0</v>
      </c>
      <c r="K110" s="572">
        <f>'CT (CTR)'!M136</f>
        <v>0</v>
      </c>
      <c r="L110" s="572">
        <f>'CT (CTR)'!N136</f>
        <v>0</v>
      </c>
      <c r="M110" s="572">
        <f>'CT (CTR)'!O136</f>
        <v>0</v>
      </c>
      <c r="N110" s="572">
        <f>'CT (CTR)'!P136</f>
        <v>0</v>
      </c>
      <c r="O110" s="572">
        <f>'CT (CTR)'!Q136</f>
        <v>0</v>
      </c>
      <c r="P110" s="572">
        <f>'CT (CTR)'!R136</f>
        <v>0</v>
      </c>
      <c r="Q110" s="572">
        <f>'CT (CTR)'!S136</f>
        <v>0</v>
      </c>
      <c r="R110" s="572">
        <f>'CT (CTR)'!T136</f>
        <v>0</v>
      </c>
      <c r="S110" s="572">
        <f>'CT (CTR)'!U136</f>
        <v>0</v>
      </c>
      <c r="T110" s="572">
        <f>'CT (CTR)'!V136</f>
        <v>0</v>
      </c>
      <c r="U110" s="572">
        <f>'CT (CTR)'!W136</f>
        <v>0</v>
      </c>
      <c r="V110" s="572">
        <f>'CT (CTR)'!X136</f>
        <v>0</v>
      </c>
      <c r="W110" s="572">
        <f>'CT (CTR)'!Y136</f>
        <v>0</v>
      </c>
      <c r="X110" s="572">
        <f>'CT (CTR)'!Z136</f>
        <v>0</v>
      </c>
      <c r="Y110" s="572">
        <f>'CT (CTR)'!AA136</f>
        <v>0</v>
      </c>
      <c r="Z110" s="572">
        <f>'CT (CTR)'!AB136</f>
        <v>0</v>
      </c>
      <c r="AA110" s="572">
        <f>'CT (CTR)'!AC136</f>
        <v>0</v>
      </c>
      <c r="AB110" s="572">
        <f>'CT (CTR)'!AD136</f>
        <v>0</v>
      </c>
      <c r="AC110" s="572">
        <f>'CT (CTR)'!AE136</f>
        <v>0</v>
      </c>
      <c r="AD110" s="572">
        <f>'CT (CTR)'!G102</f>
        <v>0</v>
      </c>
      <c r="AE110" s="572">
        <f>'CT (CTR)'!H102</f>
        <v>0</v>
      </c>
      <c r="AF110" s="572">
        <f>'CT (CTR)'!I102</f>
        <v>0</v>
      </c>
      <c r="AG110" s="572">
        <f>'CT (CTR)'!J102</f>
        <v>0</v>
      </c>
      <c r="AH110" s="572">
        <f>'CT (CTR)'!K102</f>
        <v>0</v>
      </c>
      <c r="AI110" s="572">
        <f>'CT (CTR)'!L102</f>
        <v>0</v>
      </c>
      <c r="AJ110" s="572">
        <f>'CT (CTR)'!M102</f>
        <v>0</v>
      </c>
      <c r="AK110" s="572">
        <f>'CT (CTR)'!N102</f>
        <v>0</v>
      </c>
      <c r="AL110" s="572">
        <f>'CT (CTR)'!O102</f>
        <v>0</v>
      </c>
      <c r="AM110" s="572">
        <f>'CT (CTR)'!P102</f>
        <v>0</v>
      </c>
      <c r="AN110" s="572">
        <f>'CT (CTR)'!Q102</f>
        <v>0</v>
      </c>
      <c r="AO110" s="572">
        <f>'CT (CTR)'!R102</f>
        <v>0</v>
      </c>
      <c r="AP110" s="572">
        <f>'CT (CTR)'!S102</f>
        <v>0</v>
      </c>
      <c r="AQ110" s="572">
        <f>'CT (CTR)'!T102</f>
        <v>0</v>
      </c>
      <c r="AR110" s="572">
        <f>'CT (CTR)'!U102</f>
        <v>0</v>
      </c>
      <c r="AS110" s="572">
        <f>'CT (CTR)'!V102</f>
        <v>0</v>
      </c>
      <c r="AT110" s="572">
        <f>'CT (CTR)'!W102</f>
        <v>0</v>
      </c>
      <c r="AU110" s="572">
        <f>'CT (CTR)'!X102</f>
        <v>0</v>
      </c>
      <c r="AV110" s="572">
        <f>'CT (CTR)'!Y102</f>
        <v>0</v>
      </c>
      <c r="AW110" s="572">
        <f>'CT (CTR)'!Z102</f>
        <v>0</v>
      </c>
      <c r="AX110" s="572">
        <f>'CT (CTR)'!AA102</f>
        <v>0</v>
      </c>
      <c r="AY110" s="572">
        <f>'CT (CTR)'!AB102</f>
        <v>0</v>
      </c>
      <c r="AZ110" s="572">
        <f>'CT (CTR)'!AC102</f>
        <v>0</v>
      </c>
      <c r="BA110" s="572">
        <f>'CT (CTR)'!AD102</f>
        <v>0</v>
      </c>
      <c r="BB110" s="572">
        <f>'CT (CTR)'!AE102</f>
        <v>0</v>
      </c>
      <c r="BC110" s="572">
        <f>'CT (CTR)'!G68</f>
        <v>7539.3907337484798</v>
      </c>
      <c r="BD110" s="572">
        <f>'CT (CTR)'!H68</f>
        <v>2622.3129808302401</v>
      </c>
      <c r="BE110" s="572">
        <f>'CT (CTR)'!I68</f>
        <v>2798.2797853256902</v>
      </c>
      <c r="BF110" s="572">
        <f>'CT (CTR)'!J68</f>
        <v>1914.26693693573</v>
      </c>
      <c r="BG110" s="572">
        <f>'CT (CTR)'!K68</f>
        <v>2642.8419143709798</v>
      </c>
      <c r="BH110" s="572">
        <f>'CT (CTR)'!L68</f>
        <v>1573.71372224231</v>
      </c>
      <c r="BI110" s="572">
        <f>'CT (CTR)'!M68</f>
        <v>1199.5243971805</v>
      </c>
      <c r="BJ110" s="572">
        <f>'CT (CTR)'!N68</f>
        <v>1861.2613533362801</v>
      </c>
      <c r="BK110" s="572">
        <f>'CT (CTR)'!O68</f>
        <v>895.22299909600997</v>
      </c>
      <c r="BL110" s="572">
        <f>'CT (CTR)'!P68</f>
        <v>556.81166999299296</v>
      </c>
      <c r="BM110" s="572">
        <f>'CT (CTR)'!Q68</f>
        <v>599.16191071611695</v>
      </c>
      <c r="BN110" s="572">
        <f>'CT (CTR)'!R68</f>
        <v>538.50902850255602</v>
      </c>
      <c r="BO110" s="572">
        <f>'CT (CTR)'!S68</f>
        <v>585.1689482168</v>
      </c>
      <c r="BP110" s="572">
        <f>'CT (CTR)'!T68</f>
        <v>256.66361950531501</v>
      </c>
      <c r="BQ110" s="572">
        <f>'CT (CTR)'!U68</f>
        <v>0</v>
      </c>
      <c r="BR110" s="572">
        <f>'CT (CTR)'!V68</f>
        <v>0</v>
      </c>
      <c r="BS110" s="572">
        <f>'CT (CTR)'!W68</f>
        <v>0</v>
      </c>
      <c r="BT110" s="572">
        <f>'CT (CTR)'!X68</f>
        <v>0</v>
      </c>
      <c r="BU110" s="572">
        <f>'CT (CTR)'!Y68</f>
        <v>0</v>
      </c>
      <c r="BV110" s="572">
        <f>'CT (CTR)'!Z68</f>
        <v>0</v>
      </c>
      <c r="BW110" s="572">
        <f>'CT (CTR)'!AA68</f>
        <v>0</v>
      </c>
      <c r="BX110" s="572">
        <f>'CT (CTR)'!AB68</f>
        <v>0</v>
      </c>
      <c r="BY110" s="572">
        <f>'CT (CTR)'!AC68</f>
        <v>0</v>
      </c>
      <c r="BZ110" s="572">
        <f>'CT (CTR)'!AD68</f>
        <v>0</v>
      </c>
      <c r="CA110" s="572">
        <f>'CT (CTR)'!AE68</f>
        <v>0</v>
      </c>
    </row>
    <row r="111" spans="1:79" x14ac:dyDescent="0.2">
      <c r="D111" s="574" t="s">
        <v>172</v>
      </c>
      <c r="E111" s="575">
        <f>SUM(E84:E86)*252</f>
        <v>0</v>
      </c>
      <c r="F111" s="575">
        <f t="shared" ref="F111:BQ111" si="27">SUM(F84:F86)*252</f>
        <v>0</v>
      </c>
      <c r="G111" s="575">
        <f t="shared" si="27"/>
        <v>0</v>
      </c>
      <c r="H111" s="575">
        <f t="shared" si="27"/>
        <v>0</v>
      </c>
      <c r="I111" s="575">
        <f t="shared" si="27"/>
        <v>0</v>
      </c>
      <c r="J111" s="575">
        <f t="shared" si="27"/>
        <v>0</v>
      </c>
      <c r="K111" s="575">
        <f t="shared" si="27"/>
        <v>0</v>
      </c>
      <c r="L111" s="575">
        <f t="shared" si="27"/>
        <v>0</v>
      </c>
      <c r="M111" s="575">
        <f t="shared" si="27"/>
        <v>0</v>
      </c>
      <c r="N111" s="575">
        <f t="shared" si="27"/>
        <v>0</v>
      </c>
      <c r="O111" s="575">
        <f t="shared" si="27"/>
        <v>0</v>
      </c>
      <c r="P111" s="575">
        <f t="shared" si="27"/>
        <v>0</v>
      </c>
      <c r="Q111" s="575">
        <f t="shared" si="27"/>
        <v>0</v>
      </c>
      <c r="R111" s="575">
        <f t="shared" si="27"/>
        <v>0</v>
      </c>
      <c r="S111" s="575">
        <f t="shared" si="27"/>
        <v>0</v>
      </c>
      <c r="T111" s="575">
        <f t="shared" si="27"/>
        <v>0</v>
      </c>
      <c r="U111" s="575">
        <f t="shared" si="27"/>
        <v>0</v>
      </c>
      <c r="V111" s="575">
        <f t="shared" si="27"/>
        <v>0</v>
      </c>
      <c r="W111" s="575">
        <f t="shared" si="27"/>
        <v>0</v>
      </c>
      <c r="X111" s="575">
        <f t="shared" si="27"/>
        <v>0</v>
      </c>
      <c r="Y111" s="575">
        <f t="shared" si="27"/>
        <v>0</v>
      </c>
      <c r="Z111" s="575">
        <f t="shared" si="27"/>
        <v>0</v>
      </c>
      <c r="AA111" s="575">
        <f t="shared" si="27"/>
        <v>0</v>
      </c>
      <c r="AB111" s="575">
        <f t="shared" si="27"/>
        <v>0</v>
      </c>
      <c r="AC111" s="575">
        <f t="shared" si="27"/>
        <v>0</v>
      </c>
      <c r="AD111" s="575">
        <f t="shared" si="27"/>
        <v>0</v>
      </c>
      <c r="AE111" s="575">
        <f t="shared" si="27"/>
        <v>0</v>
      </c>
      <c r="AF111" s="575">
        <f t="shared" si="27"/>
        <v>0</v>
      </c>
      <c r="AG111" s="575">
        <f t="shared" si="27"/>
        <v>0</v>
      </c>
      <c r="AH111" s="575">
        <f t="shared" si="27"/>
        <v>0</v>
      </c>
      <c r="AI111" s="575">
        <f t="shared" si="27"/>
        <v>0</v>
      </c>
      <c r="AJ111" s="575">
        <f t="shared" si="27"/>
        <v>0</v>
      </c>
      <c r="AK111" s="575">
        <f t="shared" si="27"/>
        <v>0</v>
      </c>
      <c r="AL111" s="575">
        <f t="shared" si="27"/>
        <v>0</v>
      </c>
      <c r="AM111" s="575">
        <f t="shared" si="27"/>
        <v>0</v>
      </c>
      <c r="AN111" s="575">
        <f t="shared" si="27"/>
        <v>0</v>
      </c>
      <c r="AO111" s="575">
        <f t="shared" si="27"/>
        <v>0</v>
      </c>
      <c r="AP111" s="575">
        <f t="shared" si="27"/>
        <v>0</v>
      </c>
      <c r="AQ111" s="575">
        <f t="shared" si="27"/>
        <v>0</v>
      </c>
      <c r="AR111" s="575">
        <f t="shared" si="27"/>
        <v>0</v>
      </c>
      <c r="AS111" s="575">
        <f t="shared" si="27"/>
        <v>0</v>
      </c>
      <c r="AT111" s="575">
        <f t="shared" si="27"/>
        <v>0</v>
      </c>
      <c r="AU111" s="575">
        <f t="shared" si="27"/>
        <v>0</v>
      </c>
      <c r="AV111" s="575">
        <f t="shared" si="27"/>
        <v>0</v>
      </c>
      <c r="AW111" s="575">
        <f t="shared" si="27"/>
        <v>0</v>
      </c>
      <c r="AX111" s="575">
        <f t="shared" si="27"/>
        <v>0</v>
      </c>
      <c r="AY111" s="575">
        <f t="shared" si="27"/>
        <v>0</v>
      </c>
      <c r="AZ111" s="575">
        <f t="shared" si="27"/>
        <v>0</v>
      </c>
      <c r="BA111" s="575">
        <f t="shared" ref="BA111" si="28">SUM(BA84:BA86)*252</f>
        <v>0</v>
      </c>
      <c r="BB111" s="575">
        <f t="shared" si="27"/>
        <v>0</v>
      </c>
      <c r="BC111" s="575">
        <f t="shared" ref="BC111" si="29">SUM(BC84:BC86)*252</f>
        <v>365.07900209159988</v>
      </c>
      <c r="BD111" s="575">
        <f t="shared" si="27"/>
        <v>283.33182434804831</v>
      </c>
      <c r="BE111" s="575">
        <f t="shared" si="27"/>
        <v>57.69375665814006</v>
      </c>
      <c r="BF111" s="575">
        <f t="shared" si="27"/>
        <v>147.57912269023217</v>
      </c>
      <c r="BG111" s="575">
        <f t="shared" si="27"/>
        <v>321.08587815283187</v>
      </c>
      <c r="BH111" s="575">
        <f t="shared" si="27"/>
        <v>212.6742513037249</v>
      </c>
      <c r="BI111" s="575">
        <f t="shared" si="27"/>
        <v>117.46512782197452</v>
      </c>
      <c r="BJ111" s="575">
        <f t="shared" si="27"/>
        <v>348.46431266294144</v>
      </c>
      <c r="BK111" s="575">
        <f t="shared" si="27"/>
        <v>164.56740913290159</v>
      </c>
      <c r="BL111" s="575">
        <f t="shared" si="27"/>
        <v>39.676003182754599</v>
      </c>
      <c r="BM111" s="575">
        <f t="shared" si="27"/>
        <v>38.281240702332404</v>
      </c>
      <c r="BN111" s="575">
        <f t="shared" si="27"/>
        <v>62.029557559634966</v>
      </c>
      <c r="BO111" s="575">
        <f t="shared" si="27"/>
        <v>91.574854751008957</v>
      </c>
      <c r="BP111" s="575">
        <f t="shared" si="27"/>
        <v>20.020648873058921</v>
      </c>
      <c r="BQ111" s="575">
        <f t="shared" si="27"/>
        <v>0</v>
      </c>
      <c r="BR111" s="575">
        <f t="shared" ref="BR111:BW111" si="30">SUM(BR84:BR86)*252</f>
        <v>0</v>
      </c>
      <c r="BS111" s="575">
        <f t="shared" si="30"/>
        <v>0</v>
      </c>
      <c r="BT111" s="575">
        <f t="shared" si="30"/>
        <v>0</v>
      </c>
      <c r="BU111" s="575">
        <f t="shared" si="30"/>
        <v>0</v>
      </c>
      <c r="BV111" s="575">
        <f t="shared" si="30"/>
        <v>0</v>
      </c>
      <c r="BW111" s="575">
        <f t="shared" si="30"/>
        <v>0</v>
      </c>
      <c r="BX111" s="575">
        <f t="shared" ref="BX111:CA111" si="31">SUM(BX84:BX86)*252</f>
        <v>0</v>
      </c>
      <c r="BY111" s="575">
        <f t="shared" si="31"/>
        <v>0</v>
      </c>
      <c r="BZ111" s="575">
        <f t="shared" si="31"/>
        <v>0</v>
      </c>
      <c r="CA111" s="575">
        <f t="shared" si="31"/>
        <v>0</v>
      </c>
    </row>
    <row r="112" spans="1:79" x14ac:dyDescent="0.2">
      <c r="D112" s="574" t="s">
        <v>704</v>
      </c>
      <c r="E112" s="575">
        <f>SUMIF($A$16:$A$36,"INTERMED",E87:E107)*252</f>
        <v>0</v>
      </c>
      <c r="F112" s="575">
        <f t="shared" ref="F112:BQ112" si="32">SUMIF($A$16:$A$36,"INTERMED",F87:F107)*252</f>
        <v>0</v>
      </c>
      <c r="G112" s="575">
        <f t="shared" si="32"/>
        <v>0</v>
      </c>
      <c r="H112" s="575">
        <f t="shared" si="32"/>
        <v>0</v>
      </c>
      <c r="I112" s="575">
        <f t="shared" si="32"/>
        <v>0</v>
      </c>
      <c r="J112" s="575">
        <f t="shared" si="32"/>
        <v>0</v>
      </c>
      <c r="K112" s="575">
        <f t="shared" si="32"/>
        <v>0</v>
      </c>
      <c r="L112" s="575">
        <f t="shared" si="32"/>
        <v>0</v>
      </c>
      <c r="M112" s="575">
        <f t="shared" si="32"/>
        <v>0</v>
      </c>
      <c r="N112" s="575">
        <f t="shared" si="32"/>
        <v>0</v>
      </c>
      <c r="O112" s="575">
        <f t="shared" si="32"/>
        <v>0</v>
      </c>
      <c r="P112" s="575">
        <f t="shared" si="32"/>
        <v>0</v>
      </c>
      <c r="Q112" s="575">
        <f t="shared" si="32"/>
        <v>0</v>
      </c>
      <c r="R112" s="575">
        <f t="shared" si="32"/>
        <v>0</v>
      </c>
      <c r="S112" s="575">
        <f t="shared" si="32"/>
        <v>0</v>
      </c>
      <c r="T112" s="575">
        <f t="shared" si="32"/>
        <v>0</v>
      </c>
      <c r="U112" s="575">
        <f t="shared" si="32"/>
        <v>0</v>
      </c>
      <c r="V112" s="575">
        <f t="shared" si="32"/>
        <v>0</v>
      </c>
      <c r="W112" s="575">
        <f t="shared" si="32"/>
        <v>0</v>
      </c>
      <c r="X112" s="575">
        <f t="shared" si="32"/>
        <v>0</v>
      </c>
      <c r="Y112" s="575">
        <f t="shared" si="32"/>
        <v>0</v>
      </c>
      <c r="Z112" s="575">
        <f t="shared" si="32"/>
        <v>0</v>
      </c>
      <c r="AA112" s="575">
        <f t="shared" si="32"/>
        <v>0</v>
      </c>
      <c r="AB112" s="575">
        <f t="shared" si="32"/>
        <v>0</v>
      </c>
      <c r="AC112" s="575">
        <f t="shared" si="32"/>
        <v>0</v>
      </c>
      <c r="AD112" s="575">
        <f t="shared" si="32"/>
        <v>0</v>
      </c>
      <c r="AE112" s="575">
        <f t="shared" si="32"/>
        <v>0</v>
      </c>
      <c r="AF112" s="575">
        <f t="shared" si="32"/>
        <v>0</v>
      </c>
      <c r="AG112" s="575">
        <f t="shared" si="32"/>
        <v>0</v>
      </c>
      <c r="AH112" s="575">
        <f t="shared" si="32"/>
        <v>0</v>
      </c>
      <c r="AI112" s="575">
        <f t="shared" si="32"/>
        <v>0</v>
      </c>
      <c r="AJ112" s="575">
        <f t="shared" si="32"/>
        <v>0</v>
      </c>
      <c r="AK112" s="575">
        <f t="shared" si="32"/>
        <v>0</v>
      </c>
      <c r="AL112" s="575">
        <f t="shared" si="32"/>
        <v>0</v>
      </c>
      <c r="AM112" s="575">
        <f t="shared" si="32"/>
        <v>0</v>
      </c>
      <c r="AN112" s="575">
        <f t="shared" si="32"/>
        <v>0</v>
      </c>
      <c r="AO112" s="575">
        <f t="shared" si="32"/>
        <v>0</v>
      </c>
      <c r="AP112" s="575">
        <f t="shared" si="32"/>
        <v>0</v>
      </c>
      <c r="AQ112" s="575">
        <f t="shared" si="32"/>
        <v>0</v>
      </c>
      <c r="AR112" s="575">
        <f t="shared" si="32"/>
        <v>0</v>
      </c>
      <c r="AS112" s="575">
        <f t="shared" si="32"/>
        <v>0</v>
      </c>
      <c r="AT112" s="575">
        <f t="shared" si="32"/>
        <v>0</v>
      </c>
      <c r="AU112" s="575">
        <f t="shared" si="32"/>
        <v>0</v>
      </c>
      <c r="AV112" s="575">
        <f t="shared" si="32"/>
        <v>0</v>
      </c>
      <c r="AW112" s="575">
        <f t="shared" si="32"/>
        <v>0</v>
      </c>
      <c r="AX112" s="575">
        <f t="shared" si="32"/>
        <v>0</v>
      </c>
      <c r="AY112" s="575">
        <f t="shared" si="32"/>
        <v>0</v>
      </c>
      <c r="AZ112" s="575">
        <f t="shared" si="32"/>
        <v>0</v>
      </c>
      <c r="BA112" s="575">
        <f t="shared" si="32"/>
        <v>0</v>
      </c>
      <c r="BB112" s="575">
        <f t="shared" si="32"/>
        <v>0</v>
      </c>
      <c r="BC112" s="575">
        <f t="shared" si="32"/>
        <v>530.38737863562301</v>
      </c>
      <c r="BD112" s="575">
        <f t="shared" si="32"/>
        <v>167.62675356985872</v>
      </c>
      <c r="BE112" s="575">
        <f t="shared" si="32"/>
        <v>39.364672042964493</v>
      </c>
      <c r="BF112" s="575">
        <f t="shared" si="32"/>
        <v>135.12173781193039</v>
      </c>
      <c r="BG112" s="575">
        <f t="shared" si="32"/>
        <v>193.47551586148992</v>
      </c>
      <c r="BH112" s="575">
        <f t="shared" si="32"/>
        <v>137.16614369415763</v>
      </c>
      <c r="BI112" s="575">
        <f t="shared" si="32"/>
        <v>77.857617719903118</v>
      </c>
      <c r="BJ112" s="575">
        <f t="shared" si="32"/>
        <v>194.98858376823503</v>
      </c>
      <c r="BK112" s="575">
        <f t="shared" si="32"/>
        <v>77.706103375332205</v>
      </c>
      <c r="BL112" s="575">
        <f t="shared" si="32"/>
        <v>48.501195164063333</v>
      </c>
      <c r="BM112" s="575">
        <f t="shared" si="32"/>
        <v>52.63151711829039</v>
      </c>
      <c r="BN112" s="575">
        <f t="shared" si="32"/>
        <v>33.864493781135103</v>
      </c>
      <c r="BO112" s="575">
        <f t="shared" si="32"/>
        <v>39.680153965907081</v>
      </c>
      <c r="BP112" s="575">
        <f t="shared" si="32"/>
        <v>13.567798225501356</v>
      </c>
      <c r="BQ112" s="575">
        <f t="shared" si="32"/>
        <v>0</v>
      </c>
      <c r="BR112" s="575">
        <f t="shared" ref="BR112:CA112" si="33">SUMIF($A$16:$A$36,"INTERMED",BR87:BR107)*252</f>
        <v>0</v>
      </c>
      <c r="BS112" s="575">
        <f t="shared" si="33"/>
        <v>0</v>
      </c>
      <c r="BT112" s="575">
        <f t="shared" si="33"/>
        <v>0</v>
      </c>
      <c r="BU112" s="575">
        <f t="shared" si="33"/>
        <v>0</v>
      </c>
      <c r="BV112" s="575">
        <f t="shared" si="33"/>
        <v>0</v>
      </c>
      <c r="BW112" s="575">
        <f t="shared" si="33"/>
        <v>0</v>
      </c>
      <c r="BX112" s="575">
        <f t="shared" si="33"/>
        <v>0</v>
      </c>
      <c r="BY112" s="575">
        <f t="shared" si="33"/>
        <v>0</v>
      </c>
      <c r="BZ112" s="575">
        <f t="shared" si="33"/>
        <v>0</v>
      </c>
      <c r="CA112" s="575">
        <f t="shared" si="33"/>
        <v>0</v>
      </c>
    </row>
    <row r="113" spans="4:79" x14ac:dyDescent="0.2">
      <c r="D113" s="574" t="s">
        <v>173</v>
      </c>
      <c r="E113" s="575">
        <f>SUMIF($A$16:$A$36, "FORA PONTA",E87:E107)*252+SUM(E84:E107)*(E108*52+E109*61)</f>
        <v>0</v>
      </c>
      <c r="F113" s="575">
        <f t="shared" ref="F113:BQ113" si="34">SUMIF($A$16:$A$36, "FORA PONTA",F87:F107)*252+SUM(F84:F107)*(F108*52+F109*61)</f>
        <v>0</v>
      </c>
      <c r="G113" s="575">
        <f t="shared" si="34"/>
        <v>0</v>
      </c>
      <c r="H113" s="575">
        <f t="shared" si="34"/>
        <v>0</v>
      </c>
      <c r="I113" s="575">
        <f t="shared" si="34"/>
        <v>0</v>
      </c>
      <c r="J113" s="575">
        <f t="shared" si="34"/>
        <v>0</v>
      </c>
      <c r="K113" s="575">
        <f t="shared" si="34"/>
        <v>0</v>
      </c>
      <c r="L113" s="575">
        <f t="shared" si="34"/>
        <v>0</v>
      </c>
      <c r="M113" s="575">
        <f t="shared" si="34"/>
        <v>0</v>
      </c>
      <c r="N113" s="575">
        <f t="shared" si="34"/>
        <v>0</v>
      </c>
      <c r="O113" s="575">
        <f t="shared" si="34"/>
        <v>0</v>
      </c>
      <c r="P113" s="575">
        <f t="shared" si="34"/>
        <v>0</v>
      </c>
      <c r="Q113" s="575">
        <f t="shared" si="34"/>
        <v>0</v>
      </c>
      <c r="R113" s="575">
        <f t="shared" si="34"/>
        <v>0</v>
      </c>
      <c r="S113" s="575">
        <f t="shared" si="34"/>
        <v>0</v>
      </c>
      <c r="T113" s="575">
        <f t="shared" si="34"/>
        <v>0</v>
      </c>
      <c r="U113" s="575">
        <f t="shared" si="34"/>
        <v>0</v>
      </c>
      <c r="V113" s="575">
        <f t="shared" si="34"/>
        <v>0</v>
      </c>
      <c r="W113" s="575">
        <f t="shared" si="34"/>
        <v>0</v>
      </c>
      <c r="X113" s="575">
        <f t="shared" si="34"/>
        <v>0</v>
      </c>
      <c r="Y113" s="575">
        <f t="shared" si="34"/>
        <v>0</v>
      </c>
      <c r="Z113" s="575">
        <f t="shared" si="34"/>
        <v>0</v>
      </c>
      <c r="AA113" s="575">
        <f t="shared" si="34"/>
        <v>0</v>
      </c>
      <c r="AB113" s="575">
        <f t="shared" si="34"/>
        <v>0</v>
      </c>
      <c r="AC113" s="575">
        <f t="shared" si="34"/>
        <v>0</v>
      </c>
      <c r="AD113" s="575">
        <f t="shared" si="34"/>
        <v>0</v>
      </c>
      <c r="AE113" s="575">
        <f t="shared" si="34"/>
        <v>0</v>
      </c>
      <c r="AF113" s="575">
        <f t="shared" si="34"/>
        <v>0</v>
      </c>
      <c r="AG113" s="575">
        <f t="shared" si="34"/>
        <v>0</v>
      </c>
      <c r="AH113" s="575">
        <f t="shared" si="34"/>
        <v>0</v>
      </c>
      <c r="AI113" s="575">
        <f t="shared" si="34"/>
        <v>0</v>
      </c>
      <c r="AJ113" s="575">
        <f t="shared" si="34"/>
        <v>0</v>
      </c>
      <c r="AK113" s="575">
        <f t="shared" si="34"/>
        <v>0</v>
      </c>
      <c r="AL113" s="575">
        <f t="shared" si="34"/>
        <v>0</v>
      </c>
      <c r="AM113" s="575">
        <f t="shared" si="34"/>
        <v>0</v>
      </c>
      <c r="AN113" s="575">
        <f t="shared" si="34"/>
        <v>0</v>
      </c>
      <c r="AO113" s="575">
        <f t="shared" si="34"/>
        <v>0</v>
      </c>
      <c r="AP113" s="575">
        <f t="shared" si="34"/>
        <v>0</v>
      </c>
      <c r="AQ113" s="575">
        <f t="shared" si="34"/>
        <v>0</v>
      </c>
      <c r="AR113" s="575">
        <f t="shared" si="34"/>
        <v>0</v>
      </c>
      <c r="AS113" s="575">
        <f t="shared" si="34"/>
        <v>0</v>
      </c>
      <c r="AT113" s="575">
        <f t="shared" si="34"/>
        <v>0</v>
      </c>
      <c r="AU113" s="575">
        <f t="shared" si="34"/>
        <v>0</v>
      </c>
      <c r="AV113" s="575">
        <f t="shared" si="34"/>
        <v>0</v>
      </c>
      <c r="AW113" s="575">
        <f t="shared" si="34"/>
        <v>0</v>
      </c>
      <c r="AX113" s="575">
        <f t="shared" si="34"/>
        <v>0</v>
      </c>
      <c r="AY113" s="575">
        <f t="shared" si="34"/>
        <v>0</v>
      </c>
      <c r="AZ113" s="575">
        <f t="shared" si="34"/>
        <v>0</v>
      </c>
      <c r="BA113" s="575">
        <f t="shared" si="34"/>
        <v>0</v>
      </c>
      <c r="BB113" s="575">
        <f t="shared" si="34"/>
        <v>0</v>
      </c>
      <c r="BC113" s="575">
        <f t="shared" si="34"/>
        <v>6643.924353021257</v>
      </c>
      <c r="BD113" s="575">
        <f t="shared" si="34"/>
        <v>2171.3544029123382</v>
      </c>
      <c r="BE113" s="575">
        <f t="shared" si="34"/>
        <v>2701.221356624586</v>
      </c>
      <c r="BF113" s="575">
        <f t="shared" si="34"/>
        <v>1631.5660764335632</v>
      </c>
      <c r="BG113" s="575">
        <f t="shared" si="34"/>
        <v>2128.2805203566563</v>
      </c>
      <c r="BH113" s="575">
        <f t="shared" si="34"/>
        <v>1223.8733272444317</v>
      </c>
      <c r="BI113" s="575">
        <f t="shared" si="34"/>
        <v>1004.2016516386213</v>
      </c>
      <c r="BJ113" s="575">
        <f t="shared" si="34"/>
        <v>1317.8084569051016</v>
      </c>
      <c r="BK113" s="575">
        <f t="shared" si="34"/>
        <v>652.94948658777616</v>
      </c>
      <c r="BL113" s="575">
        <f t="shared" si="34"/>
        <v>468.6344716461748</v>
      </c>
      <c r="BM113" s="575">
        <f t="shared" si="34"/>
        <v>508.24915289549426</v>
      </c>
      <c r="BN113" s="575">
        <f t="shared" si="34"/>
        <v>442.61497716178587</v>
      </c>
      <c r="BO113" s="575">
        <f t="shared" si="34"/>
        <v>453.9139394998848</v>
      </c>
      <c r="BP113" s="575">
        <f t="shared" si="34"/>
        <v>223.07517240675469</v>
      </c>
      <c r="BQ113" s="575">
        <f t="shared" si="34"/>
        <v>0</v>
      </c>
      <c r="BR113" s="575">
        <f t="shared" ref="BR113:CA113" si="35">SUMIF($A$16:$A$36, "FORA PONTA",BR87:BR107)*252+SUM(BR84:BR107)*(BR108*52+BR109*61)</f>
        <v>0</v>
      </c>
      <c r="BS113" s="575">
        <f t="shared" si="35"/>
        <v>0</v>
      </c>
      <c r="BT113" s="575">
        <f t="shared" si="35"/>
        <v>0</v>
      </c>
      <c r="BU113" s="575">
        <f t="shared" si="35"/>
        <v>0</v>
      </c>
      <c r="BV113" s="575">
        <f t="shared" si="35"/>
        <v>0</v>
      </c>
      <c r="BW113" s="575">
        <f t="shared" si="35"/>
        <v>0</v>
      </c>
      <c r="BX113" s="575">
        <f t="shared" si="35"/>
        <v>0</v>
      </c>
      <c r="BY113" s="575">
        <f t="shared" si="35"/>
        <v>0</v>
      </c>
      <c r="BZ113" s="575">
        <f t="shared" si="35"/>
        <v>0</v>
      </c>
      <c r="CA113" s="575">
        <f t="shared" si="35"/>
        <v>0</v>
      </c>
    </row>
    <row r="114" spans="4:79" ht="13.5" thickBot="1" x14ac:dyDescent="0.25">
      <c r="D114" s="574" t="s">
        <v>705</v>
      </c>
      <c r="E114" s="576">
        <f>IFERROR(E110/SUM($E$110:$CA$110),0)</f>
        <v>0</v>
      </c>
      <c r="F114" s="576">
        <f t="shared" ref="F114:BQ114" si="36">IFERROR(F110/SUM($E$110:$CA$110),0)</f>
        <v>0</v>
      </c>
      <c r="G114" s="576">
        <f t="shared" si="36"/>
        <v>0</v>
      </c>
      <c r="H114" s="576">
        <f t="shared" si="36"/>
        <v>0</v>
      </c>
      <c r="I114" s="576">
        <f t="shared" si="36"/>
        <v>0</v>
      </c>
      <c r="J114" s="576">
        <f t="shared" si="36"/>
        <v>0</v>
      </c>
      <c r="K114" s="576">
        <f t="shared" si="36"/>
        <v>0</v>
      </c>
      <c r="L114" s="576">
        <f t="shared" si="36"/>
        <v>0</v>
      </c>
      <c r="M114" s="576">
        <f t="shared" si="36"/>
        <v>0</v>
      </c>
      <c r="N114" s="576">
        <f t="shared" si="36"/>
        <v>0</v>
      </c>
      <c r="O114" s="576">
        <f t="shared" si="36"/>
        <v>0</v>
      </c>
      <c r="P114" s="576">
        <f t="shared" si="36"/>
        <v>0</v>
      </c>
      <c r="Q114" s="576">
        <f t="shared" si="36"/>
        <v>0</v>
      </c>
      <c r="R114" s="576">
        <f t="shared" si="36"/>
        <v>0</v>
      </c>
      <c r="S114" s="576">
        <f t="shared" si="36"/>
        <v>0</v>
      </c>
      <c r="T114" s="576">
        <f t="shared" si="36"/>
        <v>0</v>
      </c>
      <c r="U114" s="576">
        <f t="shared" si="36"/>
        <v>0</v>
      </c>
      <c r="V114" s="576">
        <f t="shared" si="36"/>
        <v>0</v>
      </c>
      <c r="W114" s="576">
        <f t="shared" si="36"/>
        <v>0</v>
      </c>
      <c r="X114" s="576">
        <f t="shared" si="36"/>
        <v>0</v>
      </c>
      <c r="Y114" s="576">
        <f t="shared" si="36"/>
        <v>0</v>
      </c>
      <c r="Z114" s="576">
        <f t="shared" si="36"/>
        <v>0</v>
      </c>
      <c r="AA114" s="576">
        <f t="shared" si="36"/>
        <v>0</v>
      </c>
      <c r="AB114" s="576">
        <f t="shared" si="36"/>
        <v>0</v>
      </c>
      <c r="AC114" s="576">
        <f t="shared" si="36"/>
        <v>0</v>
      </c>
      <c r="AD114" s="576">
        <f t="shared" si="36"/>
        <v>0</v>
      </c>
      <c r="AE114" s="576">
        <f t="shared" si="36"/>
        <v>0</v>
      </c>
      <c r="AF114" s="576">
        <f t="shared" si="36"/>
        <v>0</v>
      </c>
      <c r="AG114" s="576">
        <f t="shared" si="36"/>
        <v>0</v>
      </c>
      <c r="AH114" s="576">
        <f t="shared" si="36"/>
        <v>0</v>
      </c>
      <c r="AI114" s="576">
        <f t="shared" si="36"/>
        <v>0</v>
      </c>
      <c r="AJ114" s="576">
        <f t="shared" si="36"/>
        <v>0</v>
      </c>
      <c r="AK114" s="576">
        <f t="shared" si="36"/>
        <v>0</v>
      </c>
      <c r="AL114" s="576">
        <f t="shared" si="36"/>
        <v>0</v>
      </c>
      <c r="AM114" s="576">
        <f t="shared" si="36"/>
        <v>0</v>
      </c>
      <c r="AN114" s="576">
        <f t="shared" si="36"/>
        <v>0</v>
      </c>
      <c r="AO114" s="576">
        <f t="shared" si="36"/>
        <v>0</v>
      </c>
      <c r="AP114" s="576">
        <f t="shared" si="36"/>
        <v>0</v>
      </c>
      <c r="AQ114" s="576">
        <f t="shared" si="36"/>
        <v>0</v>
      </c>
      <c r="AR114" s="576">
        <f t="shared" si="36"/>
        <v>0</v>
      </c>
      <c r="AS114" s="576">
        <f t="shared" si="36"/>
        <v>0</v>
      </c>
      <c r="AT114" s="576">
        <f t="shared" si="36"/>
        <v>0</v>
      </c>
      <c r="AU114" s="576">
        <f t="shared" si="36"/>
        <v>0</v>
      </c>
      <c r="AV114" s="576">
        <f t="shared" si="36"/>
        <v>0</v>
      </c>
      <c r="AW114" s="576">
        <f t="shared" si="36"/>
        <v>0</v>
      </c>
      <c r="AX114" s="576">
        <f t="shared" si="36"/>
        <v>0</v>
      </c>
      <c r="AY114" s="576">
        <f t="shared" si="36"/>
        <v>0</v>
      </c>
      <c r="AZ114" s="576">
        <f t="shared" si="36"/>
        <v>0</v>
      </c>
      <c r="BA114" s="576">
        <f t="shared" si="36"/>
        <v>0</v>
      </c>
      <c r="BB114" s="576">
        <f t="shared" si="36"/>
        <v>0</v>
      </c>
      <c r="BC114" s="576">
        <f t="shared" si="36"/>
        <v>0.2947016543225352</v>
      </c>
      <c r="BD114" s="576">
        <f t="shared" si="36"/>
        <v>0.1025016477979919</v>
      </c>
      <c r="BE114" s="576">
        <f t="shared" si="36"/>
        <v>0.10937988374861445</v>
      </c>
      <c r="BF114" s="576">
        <f t="shared" si="36"/>
        <v>7.4825360967783458E-2</v>
      </c>
      <c r="BG114" s="576">
        <f t="shared" si="36"/>
        <v>0.10330408806002159</v>
      </c>
      <c r="BH114" s="576">
        <f t="shared" si="36"/>
        <v>6.1513728861257798E-2</v>
      </c>
      <c r="BI114" s="576">
        <f t="shared" si="36"/>
        <v>4.688731977598129E-2</v>
      </c>
      <c r="BJ114" s="576">
        <f t="shared" si="36"/>
        <v>7.2753465011368049E-2</v>
      </c>
      <c r="BK114" s="576">
        <f t="shared" si="36"/>
        <v>3.4992708050031802E-2</v>
      </c>
      <c r="BL114" s="576">
        <f t="shared" si="36"/>
        <v>2.1764798521251818E-2</v>
      </c>
      <c r="BM114" s="576">
        <f t="shared" si="36"/>
        <v>2.3420195680361123E-2</v>
      </c>
      <c r="BN114" s="576">
        <f t="shared" si="36"/>
        <v>2.1049380138495801E-2</v>
      </c>
      <c r="BO114" s="576">
        <f t="shared" si="36"/>
        <v>2.2873235144284538E-2</v>
      </c>
      <c r="BP114" s="576">
        <f t="shared" si="36"/>
        <v>1.0032533920021321E-2</v>
      </c>
      <c r="BQ114" s="576">
        <f t="shared" si="36"/>
        <v>0</v>
      </c>
      <c r="BR114" s="576">
        <f t="shared" ref="BR114:CA114" si="37">IFERROR(BR110/SUM($E$110:$CA$110),0)</f>
        <v>0</v>
      </c>
      <c r="BS114" s="576">
        <f t="shared" si="37"/>
        <v>0</v>
      </c>
      <c r="BT114" s="576">
        <f t="shared" si="37"/>
        <v>0</v>
      </c>
      <c r="BU114" s="576">
        <f t="shared" si="37"/>
        <v>0</v>
      </c>
      <c r="BV114" s="576">
        <f t="shared" si="37"/>
        <v>0</v>
      </c>
      <c r="BW114" s="576">
        <f t="shared" si="37"/>
        <v>0</v>
      </c>
      <c r="BX114" s="576">
        <f t="shared" si="37"/>
        <v>0</v>
      </c>
      <c r="BY114" s="576">
        <f t="shared" si="37"/>
        <v>0</v>
      </c>
      <c r="BZ114" s="576">
        <f t="shared" si="37"/>
        <v>0</v>
      </c>
      <c r="CA114" s="576">
        <f t="shared" si="37"/>
        <v>0</v>
      </c>
    </row>
    <row r="115" spans="4:79" ht="13.5" thickBot="1" x14ac:dyDescent="0.25">
      <c r="D115" s="574" t="s">
        <v>706</v>
      </c>
      <c r="E115" s="577">
        <f t="shared" ref="E115:AJ115" si="38">IFERROR(IF(E114&gt;0,((TR_FIOA_BT_MWh+TR_FIOB_BT_MWh+1.06*PMIX_ENERGIA_MWh)*E110-PMIX_ENERGIA_MWh*(1.72*E111+E112+E113))/((TR_FIOA_BT_MWh+TR_FIOB_BT_MWh)*(RPFP_B3*E111+RINTFP_B3*E112+E113)),0),0)</f>
        <v>0</v>
      </c>
      <c r="F115" s="577">
        <f t="shared" si="38"/>
        <v>0</v>
      </c>
      <c r="G115" s="577">
        <f t="shared" si="38"/>
        <v>0</v>
      </c>
      <c r="H115" s="577">
        <f t="shared" si="38"/>
        <v>0</v>
      </c>
      <c r="I115" s="577">
        <f t="shared" si="38"/>
        <v>0</v>
      </c>
      <c r="J115" s="577">
        <f t="shared" si="38"/>
        <v>0</v>
      </c>
      <c r="K115" s="577">
        <f t="shared" si="38"/>
        <v>0</v>
      </c>
      <c r="L115" s="577">
        <f t="shared" si="38"/>
        <v>0</v>
      </c>
      <c r="M115" s="577">
        <f t="shared" si="38"/>
        <v>0</v>
      </c>
      <c r="N115" s="577">
        <f t="shared" si="38"/>
        <v>0</v>
      </c>
      <c r="O115" s="577">
        <f t="shared" si="38"/>
        <v>0</v>
      </c>
      <c r="P115" s="577">
        <f t="shared" si="38"/>
        <v>0</v>
      </c>
      <c r="Q115" s="577">
        <f t="shared" si="38"/>
        <v>0</v>
      </c>
      <c r="R115" s="577">
        <f t="shared" si="38"/>
        <v>0</v>
      </c>
      <c r="S115" s="577">
        <f t="shared" si="38"/>
        <v>0</v>
      </c>
      <c r="T115" s="577">
        <f t="shared" si="38"/>
        <v>0</v>
      </c>
      <c r="U115" s="577">
        <f t="shared" si="38"/>
        <v>0</v>
      </c>
      <c r="V115" s="577">
        <f t="shared" si="38"/>
        <v>0</v>
      </c>
      <c r="W115" s="577">
        <f t="shared" si="38"/>
        <v>0</v>
      </c>
      <c r="X115" s="577">
        <f t="shared" si="38"/>
        <v>0</v>
      </c>
      <c r="Y115" s="577">
        <f t="shared" si="38"/>
        <v>0</v>
      </c>
      <c r="Z115" s="577">
        <f t="shared" si="38"/>
        <v>0</v>
      </c>
      <c r="AA115" s="577">
        <f t="shared" si="38"/>
        <v>0</v>
      </c>
      <c r="AB115" s="577">
        <f t="shared" si="38"/>
        <v>0</v>
      </c>
      <c r="AC115" s="577">
        <f t="shared" si="38"/>
        <v>0</v>
      </c>
      <c r="AD115" s="577">
        <f t="shared" si="38"/>
        <v>0</v>
      </c>
      <c r="AE115" s="577">
        <f t="shared" si="38"/>
        <v>0</v>
      </c>
      <c r="AF115" s="577">
        <f t="shared" si="38"/>
        <v>0</v>
      </c>
      <c r="AG115" s="577">
        <f t="shared" si="38"/>
        <v>0</v>
      </c>
      <c r="AH115" s="577">
        <f t="shared" si="38"/>
        <v>0</v>
      </c>
      <c r="AI115" s="577">
        <f t="shared" si="38"/>
        <v>0</v>
      </c>
      <c r="AJ115" s="577">
        <f t="shared" si="38"/>
        <v>0</v>
      </c>
      <c r="AK115" s="577">
        <f t="shared" ref="AK115:BP115" si="39">IFERROR(IF(AK114&gt;0,((TR_FIOA_BT_MWh+TR_FIOB_BT_MWh+1.06*PMIX_ENERGIA_MWh)*AK110-PMIX_ENERGIA_MWh*(1.72*AK111+AK112+AK113))/((TR_FIOA_BT_MWh+TR_FIOB_BT_MWh)*(RPFP_B3*AK111+RINTFP_B3*AK112+AK113)),0),0)</f>
        <v>0</v>
      </c>
      <c r="AL115" s="577">
        <f t="shared" si="39"/>
        <v>0</v>
      </c>
      <c r="AM115" s="577">
        <f t="shared" si="39"/>
        <v>0</v>
      </c>
      <c r="AN115" s="577">
        <f t="shared" si="39"/>
        <v>0</v>
      </c>
      <c r="AO115" s="577">
        <f t="shared" si="39"/>
        <v>0</v>
      </c>
      <c r="AP115" s="577">
        <f t="shared" si="39"/>
        <v>0</v>
      </c>
      <c r="AQ115" s="577">
        <f t="shared" si="39"/>
        <v>0</v>
      </c>
      <c r="AR115" s="577">
        <f t="shared" si="39"/>
        <v>0</v>
      </c>
      <c r="AS115" s="577">
        <f t="shared" si="39"/>
        <v>0</v>
      </c>
      <c r="AT115" s="577">
        <f t="shared" si="39"/>
        <v>0</v>
      </c>
      <c r="AU115" s="577">
        <f t="shared" si="39"/>
        <v>0</v>
      </c>
      <c r="AV115" s="577">
        <f t="shared" si="39"/>
        <v>0</v>
      </c>
      <c r="AW115" s="577">
        <f t="shared" si="39"/>
        <v>0</v>
      </c>
      <c r="AX115" s="577">
        <f t="shared" si="39"/>
        <v>0</v>
      </c>
      <c r="AY115" s="577">
        <f t="shared" si="39"/>
        <v>0</v>
      </c>
      <c r="AZ115" s="577">
        <f t="shared" si="39"/>
        <v>0</v>
      </c>
      <c r="BA115" s="577">
        <f t="shared" si="39"/>
        <v>0</v>
      </c>
      <c r="BB115" s="577">
        <f t="shared" si="39"/>
        <v>0</v>
      </c>
      <c r="BC115" s="577">
        <f t="shared" si="39"/>
        <v>0.76698782840040491</v>
      </c>
      <c r="BD115" s="577">
        <f t="shared" si="39"/>
        <v>0.63036657429502385</v>
      </c>
      <c r="BE115" s="577">
        <f t="shared" si="39"/>
        <v>0.93835843301132738</v>
      </c>
      <c r="BF115" s="577">
        <f t="shared" si="39"/>
        <v>0.69276136247234377</v>
      </c>
      <c r="BG115" s="577">
        <f t="shared" si="39"/>
        <v>0.5968911969397932</v>
      </c>
      <c r="BH115" s="577">
        <f t="shared" si="39"/>
        <v>0.5628263058688654</v>
      </c>
      <c r="BI115" s="577">
        <f t="shared" si="39"/>
        <v>0.65079222083313559</v>
      </c>
      <c r="BJ115" s="577">
        <f t="shared" si="39"/>
        <v>0.47497284883447999</v>
      </c>
      <c r="BK115" s="577">
        <f t="shared" si="39"/>
        <v>0.48847953867647631</v>
      </c>
      <c r="BL115" s="577">
        <f t="shared" si="39"/>
        <v>0.6908534753087362</v>
      </c>
      <c r="BM115" s="577">
        <f t="shared" si="39"/>
        <v>0.70781901549768644</v>
      </c>
      <c r="BN115" s="577">
        <f t="shared" si="39"/>
        <v>0.61681699702309378</v>
      </c>
      <c r="BO115" s="577">
        <f t="shared" si="39"/>
        <v>0.53975949476843144</v>
      </c>
      <c r="BP115" s="577">
        <f t="shared" si="39"/>
        <v>0.70787523687901888</v>
      </c>
      <c r="BQ115" s="577">
        <f t="shared" ref="BQ115:CA115" si="40">IFERROR(IF(BQ114&gt;0,((TR_FIOA_BT_MWh+TR_FIOB_BT_MWh+1.06*PMIX_ENERGIA_MWh)*BQ110-PMIX_ENERGIA_MWh*(1.72*BQ111+BQ112+BQ113))/((TR_FIOA_BT_MWh+TR_FIOB_BT_MWh)*(RPFP_B3*BQ111+RINTFP_B3*BQ112+BQ113)),0),0)</f>
        <v>0</v>
      </c>
      <c r="BR115" s="577">
        <f t="shared" si="40"/>
        <v>0</v>
      </c>
      <c r="BS115" s="577">
        <f t="shared" si="40"/>
        <v>0</v>
      </c>
      <c r="BT115" s="577">
        <f t="shared" si="40"/>
        <v>0</v>
      </c>
      <c r="BU115" s="577">
        <f t="shared" si="40"/>
        <v>0</v>
      </c>
      <c r="BV115" s="577">
        <f t="shared" si="40"/>
        <v>0</v>
      </c>
      <c r="BW115" s="577">
        <f t="shared" si="40"/>
        <v>0</v>
      </c>
      <c r="BX115" s="577">
        <f t="shared" si="40"/>
        <v>0</v>
      </c>
      <c r="BY115" s="577">
        <f t="shared" si="40"/>
        <v>0</v>
      </c>
      <c r="BZ115" s="577">
        <f t="shared" si="40"/>
        <v>0</v>
      </c>
      <c r="CA115" s="577">
        <f t="shared" si="40"/>
        <v>0</v>
      </c>
    </row>
  </sheetData>
  <mergeCells count="3">
    <mergeCell ref="C11:D11"/>
    <mergeCell ref="C47:D47"/>
    <mergeCell ref="C82:D82"/>
  </mergeCells>
  <conditionalFormatting sqref="E37:BW39 AD87:CA110">
    <cfRule type="notContainsBlanks" dxfId="24" priority="18">
      <formula>LEN(TRIM(E37))&gt;0</formula>
    </cfRule>
  </conditionalFormatting>
  <conditionalFormatting sqref="E49:BW51 E84:CA86">
    <cfRule type="notContainsBlanks" dxfId="23" priority="15">
      <formula>LEN(TRIM(E49))&gt;0</formula>
    </cfRule>
  </conditionalFormatting>
  <conditionalFormatting sqref="E52:BW72">
    <cfRule type="notContainsBlanks" dxfId="22" priority="14">
      <formula>LEN(TRIM(E52))&gt;0</formula>
    </cfRule>
  </conditionalFormatting>
  <conditionalFormatting sqref="E73:BW75">
    <cfRule type="notContainsBlanks" dxfId="21" priority="13">
      <formula>LEN(TRIM(E73))&gt;0</formula>
    </cfRule>
  </conditionalFormatting>
  <conditionalFormatting sqref="E87:AC107">
    <cfRule type="notContainsBlanks" dxfId="20" priority="9">
      <formula>LEN(TRIM(E87))&gt;0</formula>
    </cfRule>
  </conditionalFormatting>
  <conditionalFormatting sqref="E108:AC110">
    <cfRule type="notContainsBlanks" dxfId="19" priority="8">
      <formula>LEN(TRIM(E108))&gt;0</formula>
    </cfRule>
  </conditionalFormatting>
  <conditionalFormatting sqref="E13:BW15">
    <cfRule type="notContainsBlanks" dxfId="18" priority="5">
      <formula>LEN(TRIM(E13))&gt;0</formula>
    </cfRule>
  </conditionalFormatting>
  <conditionalFormatting sqref="E16:BW36">
    <cfRule type="notContainsBlanks" dxfId="17" priority="4">
      <formula>LEN(TRIM(E16))&gt;0</formula>
    </cfRule>
  </conditionalFormatting>
  <conditionalFormatting sqref="A16:A36">
    <cfRule type="containsText" dxfId="16" priority="3" operator="containsText" text="INTERMED">
      <formula>NOT(ISERROR(SEARCH("INTERMED",A16)))</formula>
    </cfRule>
  </conditionalFormatting>
  <conditionalFormatting sqref="A52:A72">
    <cfRule type="containsText" dxfId="15" priority="2" operator="containsText" text="INTERMED">
      <formula>NOT(ISERROR(SEARCH("INTERMED",A52)))</formula>
    </cfRule>
  </conditionalFormatting>
  <conditionalFormatting sqref="A87:A107">
    <cfRule type="containsText" dxfId="14" priority="1" operator="containsText" text="INTERMED">
      <formula>NOT(ISERROR(SEARCH("INTERMED",A87)))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20">
    <tabColor theme="5" tint="-0.249977111117893"/>
  </sheetPr>
  <dimension ref="A2:T69"/>
  <sheetViews>
    <sheetView showGridLines="0" topLeftCell="A43" workbookViewId="0">
      <selection activeCell="E60" sqref="E60"/>
    </sheetView>
  </sheetViews>
  <sheetFormatPr defaultRowHeight="15" x14ac:dyDescent="0.25"/>
  <cols>
    <col min="1" max="1" width="1.28515625" customWidth="1"/>
    <col min="2" max="2" width="17.85546875" customWidth="1"/>
    <col min="3" max="3" width="30" customWidth="1"/>
    <col min="4" max="4" width="12.28515625" customWidth="1"/>
    <col min="5" max="5" width="20.140625" customWidth="1"/>
    <col min="6" max="6" width="15.85546875" bestFit="1" customWidth="1"/>
    <col min="7" max="7" width="17.140625" customWidth="1"/>
    <col min="8" max="8" width="16.7109375" customWidth="1"/>
    <col min="9" max="9" width="17.85546875" customWidth="1"/>
    <col min="10" max="10" width="15.140625" bestFit="1" customWidth="1"/>
    <col min="11" max="11" width="15.85546875" bestFit="1" customWidth="1"/>
    <col min="12" max="12" width="10.7109375" customWidth="1"/>
    <col min="14" max="14" width="21.42578125" customWidth="1"/>
    <col min="15" max="15" width="18.85546875" customWidth="1"/>
    <col min="16" max="16" width="13.85546875" customWidth="1"/>
    <col min="17" max="17" width="15.7109375" customWidth="1"/>
    <col min="18" max="18" width="17.28515625" customWidth="1"/>
    <col min="19" max="19" width="14.28515625" bestFit="1" customWidth="1"/>
    <col min="20" max="20" width="15.28515625" customWidth="1"/>
  </cols>
  <sheetData>
    <row r="2" spans="2:20" x14ac:dyDescent="0.25">
      <c r="B2" s="869" t="s">
        <v>3367</v>
      </c>
      <c r="C2" s="870"/>
      <c r="D2" s="24" t="s">
        <v>3373</v>
      </c>
      <c r="E2" s="24" t="s">
        <v>792</v>
      </c>
      <c r="F2" s="24" t="s">
        <v>793</v>
      </c>
      <c r="G2" s="24" t="s">
        <v>795</v>
      </c>
      <c r="H2" s="10"/>
      <c r="I2" s="10"/>
    </row>
    <row r="3" spans="2:20" x14ac:dyDescent="0.25">
      <c r="B3" s="871"/>
      <c r="C3" s="872"/>
      <c r="D3" s="466"/>
      <c r="E3" s="466"/>
      <c r="F3" s="466"/>
      <c r="G3" s="466"/>
      <c r="H3" s="10"/>
      <c r="I3" s="10"/>
    </row>
    <row r="4" spans="2:20" x14ac:dyDescent="0.25">
      <c r="B4" s="295"/>
      <c r="C4" s="295"/>
      <c r="D4" s="2" t="s">
        <v>3572</v>
      </c>
      <c r="F4" s="10"/>
      <c r="G4" s="10"/>
      <c r="H4" s="10"/>
      <c r="I4" s="10"/>
    </row>
    <row r="5" spans="2:20" ht="3.75" customHeight="1" x14ac:dyDescent="0.25">
      <c r="B5" s="295"/>
      <c r="C5" s="295"/>
      <c r="D5" s="295"/>
      <c r="F5" s="10"/>
      <c r="G5" s="10"/>
      <c r="H5" s="10"/>
      <c r="I5" s="10"/>
    </row>
    <row r="6" spans="2:20" ht="15" customHeight="1" x14ac:dyDescent="0.25">
      <c r="B6" s="295"/>
      <c r="C6" s="295"/>
      <c r="D6" s="10"/>
      <c r="F6" s="10"/>
      <c r="G6" s="848" t="s">
        <v>3580</v>
      </c>
      <c r="H6" s="849"/>
      <c r="I6" s="850"/>
    </row>
    <row r="7" spans="2:20" x14ac:dyDescent="0.25">
      <c r="B7" s="10" t="s">
        <v>3368</v>
      </c>
      <c r="C7" s="10"/>
      <c r="D7" s="10"/>
      <c r="E7" s="10"/>
      <c r="F7" s="10"/>
      <c r="G7" s="844" t="s">
        <v>3578</v>
      </c>
      <c r="H7" s="845"/>
      <c r="I7" s="677"/>
    </row>
    <row r="8" spans="2:20" x14ac:dyDescent="0.25">
      <c r="B8" s="460" t="s">
        <v>3369</v>
      </c>
      <c r="C8" s="461"/>
      <c r="D8" s="10"/>
      <c r="E8" s="10"/>
      <c r="F8" s="10"/>
      <c r="G8" s="844" t="s">
        <v>3579</v>
      </c>
      <c r="H8" s="845"/>
      <c r="I8" s="677"/>
    </row>
    <row r="9" spans="2:20" x14ac:dyDescent="0.25">
      <c r="B9" s="459" t="s">
        <v>3370</v>
      </c>
      <c r="C9" s="462"/>
      <c r="D9" s="10"/>
      <c r="E9" s="10"/>
      <c r="F9" s="10"/>
      <c r="G9" s="10"/>
      <c r="H9" s="10"/>
    </row>
    <row r="10" spans="2:20" ht="2.25" customHeight="1" x14ac:dyDescent="0.25">
      <c r="C10" s="10"/>
      <c r="D10" s="10"/>
      <c r="E10" s="10"/>
      <c r="F10" s="10"/>
      <c r="G10" s="10"/>
      <c r="H10" s="10"/>
    </row>
    <row r="11" spans="2:20" x14ac:dyDescent="0.25">
      <c r="B11" s="296"/>
      <c r="E11" s="848" t="s">
        <v>741</v>
      </c>
      <c r="F11" s="849"/>
      <c r="H11" s="875" t="s">
        <v>744</v>
      </c>
      <c r="I11" s="875"/>
      <c r="J11" s="875" t="s">
        <v>746</v>
      </c>
      <c r="K11" s="285" t="s">
        <v>747</v>
      </c>
      <c r="L11" s="875" t="s">
        <v>749</v>
      </c>
      <c r="M11" s="285" t="s">
        <v>750</v>
      </c>
      <c r="N11" s="875" t="s">
        <v>751</v>
      </c>
      <c r="O11" s="875" t="s">
        <v>752</v>
      </c>
      <c r="P11" s="875" t="s">
        <v>753</v>
      </c>
      <c r="Q11" s="875" t="s">
        <v>754</v>
      </c>
      <c r="R11" s="875" t="s">
        <v>755</v>
      </c>
      <c r="S11" s="875" t="s">
        <v>756</v>
      </c>
      <c r="T11" s="875" t="s">
        <v>757</v>
      </c>
    </row>
    <row r="12" spans="2:20" x14ac:dyDescent="0.25">
      <c r="B12" s="184" t="s">
        <v>675</v>
      </c>
      <c r="C12" s="184" t="s">
        <v>699</v>
      </c>
      <c r="D12" s="184" t="s">
        <v>740</v>
      </c>
      <c r="E12" s="184" t="s">
        <v>759</v>
      </c>
      <c r="F12" s="184" t="s">
        <v>742</v>
      </c>
      <c r="G12" s="286" t="s">
        <v>743</v>
      </c>
      <c r="H12" s="286" t="s">
        <v>3372</v>
      </c>
      <c r="I12" s="286" t="s">
        <v>745</v>
      </c>
      <c r="J12" s="875"/>
      <c r="K12" s="285" t="s">
        <v>748</v>
      </c>
      <c r="L12" s="875"/>
      <c r="M12" s="285" t="s">
        <v>748</v>
      </c>
      <c r="N12" s="875"/>
      <c r="O12" s="875"/>
      <c r="P12" s="875"/>
      <c r="Q12" s="875"/>
      <c r="R12" s="875"/>
      <c r="S12" s="875"/>
      <c r="T12" s="875"/>
    </row>
    <row r="13" spans="2:20" x14ac:dyDescent="0.25">
      <c r="B13" s="463"/>
      <c r="C13" s="463"/>
      <c r="D13" s="464"/>
      <c r="E13" s="467"/>
      <c r="F13" s="284">
        <f>E13*D13</f>
        <v>0</v>
      </c>
      <c r="G13" s="275">
        <f>CAPA!$I$4</f>
        <v>44764</v>
      </c>
      <c r="H13" s="468">
        <v>0</v>
      </c>
      <c r="I13" s="284">
        <f>F13*(1-H13)</f>
        <v>0</v>
      </c>
      <c r="J13" s="469"/>
      <c r="K13" s="288">
        <f>IFERROR(1/J13,)</f>
        <v>0</v>
      </c>
      <c r="L13" s="287"/>
      <c r="M13" s="288">
        <f>IF(F13&lt;&gt;0,(IF((G13-L13)&gt;0,(G13-L13)/365,0)),)</f>
        <v>0</v>
      </c>
      <c r="N13" s="288">
        <f>IF(M13&gt;K13,F13,F13*J13*M13)</f>
        <v>0</v>
      </c>
      <c r="O13" s="288">
        <f>IF(M13&gt;K13,I13,I13*J13*M13)</f>
        <v>0</v>
      </c>
      <c r="P13" s="288">
        <f>IF(M13&gt;K13,0,K13-M13)</f>
        <v>0</v>
      </c>
      <c r="Q13" s="288">
        <f>N13*H13</f>
        <v>0</v>
      </c>
      <c r="R13" s="288">
        <f>F13-I13-Q13</f>
        <v>0</v>
      </c>
      <c r="S13" s="288">
        <f>F13*H13*J13</f>
        <v>0</v>
      </c>
      <c r="T13" s="288">
        <f>I13*J13</f>
        <v>0</v>
      </c>
    </row>
    <row r="14" spans="2:20" x14ac:dyDescent="0.25">
      <c r="B14" s="463"/>
      <c r="C14" s="463"/>
      <c r="D14" s="465"/>
      <c r="E14" s="467"/>
      <c r="F14" s="284">
        <f t="shared" ref="F14:F21" si="0">E14*D14</f>
        <v>0</v>
      </c>
      <c r="G14" s="275">
        <f>CAPA!$I$4</f>
        <v>44764</v>
      </c>
      <c r="H14" s="468">
        <v>0</v>
      </c>
      <c r="I14" s="284">
        <f t="shared" ref="I14:I21" si="1">F14*(1-H14)</f>
        <v>0</v>
      </c>
      <c r="J14" s="469"/>
      <c r="K14" s="288">
        <f t="shared" ref="K14:K21" si="2">IFERROR(1/J14,)</f>
        <v>0</v>
      </c>
      <c r="L14" s="287"/>
      <c r="M14" s="288">
        <f t="shared" ref="M14:M21" si="3">IF(F14&lt;&gt;0,(IF((G14-L14)&gt;0,(G14-L14)/365,0)),)</f>
        <v>0</v>
      </c>
      <c r="N14" s="288">
        <f t="shared" ref="N14:N21" si="4">IF(M14&gt;K14,F14,F14*J14*M14)</f>
        <v>0</v>
      </c>
      <c r="O14" s="288">
        <f t="shared" ref="O14:O21" si="5">IF(M14&gt;K14,I14,I14*J14*M14)</f>
        <v>0</v>
      </c>
      <c r="P14" s="288">
        <f t="shared" ref="P14:P21" si="6">IF(M14&gt;K14,0,K14-M14)</f>
        <v>0</v>
      </c>
      <c r="Q14" s="288">
        <f t="shared" ref="Q14:Q21" si="7">N14*H14</f>
        <v>0</v>
      </c>
      <c r="R14" s="288">
        <f t="shared" ref="R14:R21" si="8">F14-I14-Q14</f>
        <v>0</v>
      </c>
      <c r="S14" s="288">
        <f t="shared" ref="S14:S21" si="9">F14*H14*J14</f>
        <v>0</v>
      </c>
      <c r="T14" s="288">
        <f t="shared" ref="T14:T21" si="10">I14*J14</f>
        <v>0</v>
      </c>
    </row>
    <row r="15" spans="2:20" x14ac:dyDescent="0.25">
      <c r="B15" s="463"/>
      <c r="C15" s="463"/>
      <c r="D15" s="465"/>
      <c r="E15" s="467"/>
      <c r="F15" s="284">
        <f t="shared" si="0"/>
        <v>0</v>
      </c>
      <c r="G15" s="275">
        <f>CAPA!$I$4</f>
        <v>44764</v>
      </c>
      <c r="H15" s="468">
        <v>0</v>
      </c>
      <c r="I15" s="284">
        <f t="shared" si="1"/>
        <v>0</v>
      </c>
      <c r="J15" s="469"/>
      <c r="K15" s="288">
        <f t="shared" si="2"/>
        <v>0</v>
      </c>
      <c r="L15" s="287"/>
      <c r="M15" s="288">
        <f t="shared" si="3"/>
        <v>0</v>
      </c>
      <c r="N15" s="288">
        <f t="shared" si="4"/>
        <v>0</v>
      </c>
      <c r="O15" s="288">
        <f t="shared" si="5"/>
        <v>0</v>
      </c>
      <c r="P15" s="288">
        <f t="shared" si="6"/>
        <v>0</v>
      </c>
      <c r="Q15" s="288">
        <f t="shared" si="7"/>
        <v>0</v>
      </c>
      <c r="R15" s="288">
        <f t="shared" si="8"/>
        <v>0</v>
      </c>
      <c r="S15" s="288">
        <f t="shared" si="9"/>
        <v>0</v>
      </c>
      <c r="T15" s="288">
        <f t="shared" si="10"/>
        <v>0</v>
      </c>
    </row>
    <row r="16" spans="2:20" x14ac:dyDescent="0.25">
      <c r="B16" s="463"/>
      <c r="C16" s="463"/>
      <c r="D16" s="465"/>
      <c r="E16" s="467"/>
      <c r="F16" s="284">
        <f t="shared" si="0"/>
        <v>0</v>
      </c>
      <c r="G16" s="275">
        <f>CAPA!$I$4</f>
        <v>44764</v>
      </c>
      <c r="H16" s="468">
        <v>0</v>
      </c>
      <c r="I16" s="284">
        <f t="shared" si="1"/>
        <v>0</v>
      </c>
      <c r="J16" s="469"/>
      <c r="K16" s="288">
        <f t="shared" si="2"/>
        <v>0</v>
      </c>
      <c r="L16" s="287"/>
      <c r="M16" s="288">
        <f t="shared" si="3"/>
        <v>0</v>
      </c>
      <c r="N16" s="288">
        <f t="shared" si="4"/>
        <v>0</v>
      </c>
      <c r="O16" s="288">
        <f t="shared" si="5"/>
        <v>0</v>
      </c>
      <c r="P16" s="288">
        <f t="shared" si="6"/>
        <v>0</v>
      </c>
      <c r="Q16" s="288">
        <f t="shared" si="7"/>
        <v>0</v>
      </c>
      <c r="R16" s="288">
        <f t="shared" si="8"/>
        <v>0</v>
      </c>
      <c r="S16" s="288">
        <f t="shared" si="9"/>
        <v>0</v>
      </c>
      <c r="T16" s="288">
        <f t="shared" si="10"/>
        <v>0</v>
      </c>
    </row>
    <row r="17" spans="2:20" x14ac:dyDescent="0.25">
      <c r="B17" s="463"/>
      <c r="C17" s="463"/>
      <c r="D17" s="465"/>
      <c r="E17" s="467"/>
      <c r="F17" s="284">
        <f t="shared" si="0"/>
        <v>0</v>
      </c>
      <c r="G17" s="275">
        <f>CAPA!$I$4</f>
        <v>44764</v>
      </c>
      <c r="H17" s="468">
        <v>0</v>
      </c>
      <c r="I17" s="284">
        <f t="shared" si="1"/>
        <v>0</v>
      </c>
      <c r="J17" s="469"/>
      <c r="K17" s="288">
        <f t="shared" si="2"/>
        <v>0</v>
      </c>
      <c r="L17" s="287"/>
      <c r="M17" s="288">
        <f t="shared" si="3"/>
        <v>0</v>
      </c>
      <c r="N17" s="288">
        <f t="shared" si="4"/>
        <v>0</v>
      </c>
      <c r="O17" s="288">
        <f t="shared" si="5"/>
        <v>0</v>
      </c>
      <c r="P17" s="288">
        <f t="shared" si="6"/>
        <v>0</v>
      </c>
      <c r="Q17" s="288">
        <f t="shared" si="7"/>
        <v>0</v>
      </c>
      <c r="R17" s="288">
        <f t="shared" si="8"/>
        <v>0</v>
      </c>
      <c r="S17" s="288">
        <f t="shared" si="9"/>
        <v>0</v>
      </c>
      <c r="T17" s="288">
        <f t="shared" si="10"/>
        <v>0</v>
      </c>
    </row>
    <row r="18" spans="2:20" x14ac:dyDescent="0.25">
      <c r="B18" s="463"/>
      <c r="C18" s="463"/>
      <c r="D18" s="465"/>
      <c r="E18" s="467"/>
      <c r="F18" s="284">
        <f t="shared" si="0"/>
        <v>0</v>
      </c>
      <c r="G18" s="275">
        <f>CAPA!$I$4</f>
        <v>44764</v>
      </c>
      <c r="H18" s="468">
        <v>0</v>
      </c>
      <c r="I18" s="284">
        <f t="shared" si="1"/>
        <v>0</v>
      </c>
      <c r="J18" s="469"/>
      <c r="K18" s="288">
        <f t="shared" si="2"/>
        <v>0</v>
      </c>
      <c r="L18" s="287"/>
      <c r="M18" s="288">
        <f t="shared" si="3"/>
        <v>0</v>
      </c>
      <c r="N18" s="288">
        <f t="shared" si="4"/>
        <v>0</v>
      </c>
      <c r="O18" s="288">
        <f t="shared" si="5"/>
        <v>0</v>
      </c>
      <c r="P18" s="288">
        <f t="shared" si="6"/>
        <v>0</v>
      </c>
      <c r="Q18" s="288">
        <f t="shared" si="7"/>
        <v>0</v>
      </c>
      <c r="R18" s="288">
        <f t="shared" si="8"/>
        <v>0</v>
      </c>
      <c r="S18" s="288">
        <f t="shared" si="9"/>
        <v>0</v>
      </c>
      <c r="T18" s="288">
        <f t="shared" si="10"/>
        <v>0</v>
      </c>
    </row>
    <row r="19" spans="2:20" x14ac:dyDescent="0.25">
      <c r="B19" s="463"/>
      <c r="C19" s="463"/>
      <c r="D19" s="465"/>
      <c r="E19" s="467"/>
      <c r="F19" s="284">
        <f t="shared" si="0"/>
        <v>0</v>
      </c>
      <c r="G19" s="275">
        <f>CAPA!$I$4</f>
        <v>44764</v>
      </c>
      <c r="H19" s="468">
        <v>0</v>
      </c>
      <c r="I19" s="284">
        <f t="shared" si="1"/>
        <v>0</v>
      </c>
      <c r="J19" s="469"/>
      <c r="K19" s="288">
        <f t="shared" si="2"/>
        <v>0</v>
      </c>
      <c r="L19" s="287"/>
      <c r="M19" s="288">
        <f t="shared" si="3"/>
        <v>0</v>
      </c>
      <c r="N19" s="288">
        <f t="shared" si="4"/>
        <v>0</v>
      </c>
      <c r="O19" s="288">
        <f t="shared" si="5"/>
        <v>0</v>
      </c>
      <c r="P19" s="288">
        <f t="shared" si="6"/>
        <v>0</v>
      </c>
      <c r="Q19" s="288">
        <f t="shared" si="7"/>
        <v>0</v>
      </c>
      <c r="R19" s="288">
        <f t="shared" si="8"/>
        <v>0</v>
      </c>
      <c r="S19" s="288">
        <f t="shared" si="9"/>
        <v>0</v>
      </c>
      <c r="T19" s="288">
        <f t="shared" si="10"/>
        <v>0</v>
      </c>
    </row>
    <row r="20" spans="2:20" x14ac:dyDescent="0.25">
      <c r="B20" s="463"/>
      <c r="C20" s="463"/>
      <c r="D20" s="465"/>
      <c r="E20" s="467"/>
      <c r="F20" s="284">
        <f t="shared" si="0"/>
        <v>0</v>
      </c>
      <c r="G20" s="275">
        <f>CAPA!$I$4</f>
        <v>44764</v>
      </c>
      <c r="H20" s="468"/>
      <c r="I20" s="284">
        <f t="shared" si="1"/>
        <v>0</v>
      </c>
      <c r="J20" s="469"/>
      <c r="K20" s="288">
        <f t="shared" si="2"/>
        <v>0</v>
      </c>
      <c r="L20" s="283"/>
      <c r="M20" s="288">
        <f t="shared" si="3"/>
        <v>0</v>
      </c>
      <c r="N20" s="288">
        <f t="shared" si="4"/>
        <v>0</v>
      </c>
      <c r="O20" s="288">
        <f t="shared" si="5"/>
        <v>0</v>
      </c>
      <c r="P20" s="288">
        <f t="shared" si="6"/>
        <v>0</v>
      </c>
      <c r="Q20" s="288">
        <f t="shared" si="7"/>
        <v>0</v>
      </c>
      <c r="R20" s="288">
        <f t="shared" si="8"/>
        <v>0</v>
      </c>
      <c r="S20" s="288">
        <f t="shared" si="9"/>
        <v>0</v>
      </c>
      <c r="T20" s="288">
        <f t="shared" si="10"/>
        <v>0</v>
      </c>
    </row>
    <row r="21" spans="2:20" x14ac:dyDescent="0.25">
      <c r="B21" s="463"/>
      <c r="C21" s="463"/>
      <c r="D21" s="465"/>
      <c r="E21" s="467"/>
      <c r="F21" s="284">
        <f t="shared" si="0"/>
        <v>0</v>
      </c>
      <c r="G21" s="275">
        <f>CAPA!$I$4</f>
        <v>44764</v>
      </c>
      <c r="H21" s="468"/>
      <c r="I21" s="284">
        <f t="shared" si="1"/>
        <v>0</v>
      </c>
      <c r="J21" s="469"/>
      <c r="K21" s="288">
        <f t="shared" si="2"/>
        <v>0</v>
      </c>
      <c r="L21" s="283"/>
      <c r="M21" s="288">
        <f t="shared" si="3"/>
        <v>0</v>
      </c>
      <c r="N21" s="288">
        <f t="shared" si="4"/>
        <v>0</v>
      </c>
      <c r="O21" s="288">
        <f t="shared" si="5"/>
        <v>0</v>
      </c>
      <c r="P21" s="288">
        <f t="shared" si="6"/>
        <v>0</v>
      </c>
      <c r="Q21" s="288">
        <f t="shared" si="7"/>
        <v>0</v>
      </c>
      <c r="R21" s="288">
        <f t="shared" si="8"/>
        <v>0</v>
      </c>
      <c r="S21" s="288">
        <f t="shared" si="9"/>
        <v>0</v>
      </c>
      <c r="T21" s="288">
        <f t="shared" si="10"/>
        <v>0</v>
      </c>
    </row>
    <row r="22" spans="2:20" x14ac:dyDescent="0.25">
      <c r="B22" s="879" t="s">
        <v>53</v>
      </c>
      <c r="C22" s="880"/>
      <c r="D22" s="880"/>
      <c r="F22" s="470">
        <f>SUM(F13:F21)</f>
        <v>0</v>
      </c>
      <c r="I22" s="470">
        <f>SUM(I13:I21)</f>
        <v>0</v>
      </c>
      <c r="N22" s="470">
        <f>SUM(N13:N21)</f>
        <v>0</v>
      </c>
      <c r="O22" s="470">
        <f>SUM(O13:O21)</f>
        <v>0</v>
      </c>
      <c r="Q22" s="470">
        <f>SUM(Q13:Q21)</f>
        <v>0</v>
      </c>
      <c r="R22" s="470">
        <f>SUM(R13:R21)</f>
        <v>0</v>
      </c>
      <c r="S22" s="470">
        <f>SUM(S13:S21)</f>
        <v>0</v>
      </c>
      <c r="T22" s="470">
        <f>SUM(T13:T21)</f>
        <v>0</v>
      </c>
    </row>
    <row r="23" spans="2:20" x14ac:dyDescent="0.25">
      <c r="D23" s="341" t="s">
        <v>3371</v>
      </c>
      <c r="H23" t="s">
        <v>3577</v>
      </c>
      <c r="I23" s="676">
        <f>IFERROR(I8/I7,)</f>
        <v>0</v>
      </c>
    </row>
    <row r="24" spans="2:20" ht="3.75" customHeight="1" x14ac:dyDescent="0.25"/>
    <row r="25" spans="2:20" x14ac:dyDescent="0.25">
      <c r="B25" s="10" t="s">
        <v>758</v>
      </c>
    </row>
    <row r="26" spans="2:20" ht="3" customHeight="1" x14ac:dyDescent="0.25">
      <c r="B26" s="10"/>
      <c r="C26" s="296"/>
      <c r="G26" s="296"/>
    </row>
    <row r="27" spans="2:20" x14ac:dyDescent="0.25">
      <c r="C27" s="873"/>
      <c r="D27" s="874"/>
      <c r="E27" s="874"/>
      <c r="F27" s="184"/>
      <c r="G27" s="184" t="s">
        <v>769</v>
      </c>
      <c r="H27" s="184" t="s">
        <v>770</v>
      </c>
      <c r="I27" s="184" t="s">
        <v>771</v>
      </c>
      <c r="J27" s="184" t="s">
        <v>772</v>
      </c>
      <c r="K27" s="184" t="s">
        <v>773</v>
      </c>
    </row>
    <row r="28" spans="2:20" x14ac:dyDescent="0.25">
      <c r="C28" s="876" t="s">
        <v>760</v>
      </c>
      <c r="D28" s="877"/>
      <c r="E28" s="878"/>
      <c r="F28" s="289">
        <f>F22</f>
        <v>0</v>
      </c>
      <c r="G28" s="289">
        <f>F28</f>
        <v>0</v>
      </c>
      <c r="H28" s="289">
        <f t="shared" ref="H28:I28" si="11">G28</f>
        <v>0</v>
      </c>
      <c r="I28" s="289">
        <f t="shared" si="11"/>
        <v>0</v>
      </c>
      <c r="J28" s="289">
        <f>IF(Anos_ciclo&gt;3,I28,)</f>
        <v>0</v>
      </c>
      <c r="K28" s="289">
        <f>IF(Anos_ciclo&gt;4,J28,)</f>
        <v>0</v>
      </c>
    </row>
    <row r="29" spans="2:20" x14ac:dyDescent="0.25">
      <c r="C29" s="876" t="s">
        <v>761</v>
      </c>
      <c r="D29" s="877"/>
      <c r="E29" s="878"/>
      <c r="F29" s="289">
        <f>-N22</f>
        <v>0</v>
      </c>
      <c r="G29" s="289">
        <f>F29+G30</f>
        <v>0</v>
      </c>
      <c r="H29" s="289">
        <f t="shared" ref="H29:I29" si="12">G29+H30</f>
        <v>0</v>
      </c>
      <c r="I29" s="289">
        <f t="shared" si="12"/>
        <v>0</v>
      </c>
      <c r="J29" s="289">
        <f>IF(Anos_ciclo&gt;3,I29+J30,)</f>
        <v>0</v>
      </c>
      <c r="K29" s="289">
        <f>IF(Anos_ciclo&gt;4,J29+K30,)</f>
        <v>0</v>
      </c>
    </row>
    <row r="30" spans="2:20" x14ac:dyDescent="0.25">
      <c r="C30" s="853" t="s">
        <v>762</v>
      </c>
      <c r="D30" s="854"/>
      <c r="E30" s="855"/>
      <c r="F30" s="289">
        <v>0</v>
      </c>
      <c r="G30" s="675">
        <f>-($S$22+$T$22)</f>
        <v>0</v>
      </c>
      <c r="H30" s="675">
        <f>-($S$22+$T$22)</f>
        <v>0</v>
      </c>
      <c r="I30" s="675">
        <f>-($S$22+$T$22)</f>
        <v>0</v>
      </c>
      <c r="J30" s="675">
        <f>-($S$22+$T$22)</f>
        <v>0</v>
      </c>
      <c r="K30" s="675">
        <f>-($S$22+$T$22)</f>
        <v>0</v>
      </c>
    </row>
    <row r="31" spans="2:20" x14ac:dyDescent="0.25">
      <c r="C31" s="876" t="s">
        <v>763</v>
      </c>
      <c r="D31" s="877"/>
      <c r="E31" s="878"/>
      <c r="F31" s="289">
        <f>F28+F29</f>
        <v>0</v>
      </c>
      <c r="G31" s="289">
        <f>G28+G29</f>
        <v>0</v>
      </c>
      <c r="H31" s="289">
        <f t="shared" ref="H31:I31" si="13">H28+H29</f>
        <v>0</v>
      </c>
      <c r="I31" s="289">
        <f t="shared" si="13"/>
        <v>0</v>
      </c>
      <c r="J31" s="289">
        <f>IF(Anos_ciclo&gt;3,J28+J29,)</f>
        <v>0</v>
      </c>
      <c r="K31" s="289">
        <f>IF(Anos_ciclo&gt;4,K28+K29,)</f>
        <v>0</v>
      </c>
    </row>
    <row r="32" spans="2:20" x14ac:dyDescent="0.25">
      <c r="C32" s="876" t="s">
        <v>764</v>
      </c>
      <c r="D32" s="877"/>
      <c r="E32" s="878"/>
      <c r="F32" s="289">
        <f>-$I$22</f>
        <v>0</v>
      </c>
      <c r="G32" s="289">
        <f>-$I$22</f>
        <v>0</v>
      </c>
      <c r="H32" s="289">
        <f>-$I$22</f>
        <v>0</v>
      </c>
      <c r="I32" s="289">
        <f>-$I$22</f>
        <v>0</v>
      </c>
      <c r="J32" s="289">
        <f>IF(Anos_ciclo&gt;3,-$I$22,)</f>
        <v>0</v>
      </c>
      <c r="K32" s="289">
        <f>IF(Anos_ciclo&gt;4,-$I$22,)</f>
        <v>0</v>
      </c>
    </row>
    <row r="33" spans="1:13" x14ac:dyDescent="0.25">
      <c r="C33" s="853" t="s">
        <v>765</v>
      </c>
      <c r="D33" s="854"/>
      <c r="E33" s="855"/>
      <c r="F33" s="289">
        <v>0</v>
      </c>
      <c r="G33" s="289">
        <f>$T$22</f>
        <v>0</v>
      </c>
      <c r="H33" s="289">
        <f t="shared" ref="H33:I33" si="14">$T$22</f>
        <v>0</v>
      </c>
      <c r="I33" s="289">
        <f t="shared" si="14"/>
        <v>0</v>
      </c>
      <c r="J33" s="289">
        <f>IF(Anos_ciclo&gt;3,$T$22,)</f>
        <v>0</v>
      </c>
      <c r="K33" s="289">
        <f>IF(Anos_ciclo&gt;4,$T$22,)</f>
        <v>0</v>
      </c>
    </row>
    <row r="34" spans="1:13" x14ac:dyDescent="0.25">
      <c r="C34" s="853" t="s">
        <v>766</v>
      </c>
      <c r="D34" s="854"/>
      <c r="E34" s="855"/>
      <c r="F34" s="289">
        <f>O22</f>
        <v>0</v>
      </c>
      <c r="G34" s="289">
        <f>F34+G33</f>
        <v>0</v>
      </c>
      <c r="H34" s="289">
        <f t="shared" ref="H34:I34" si="15">G34+H33</f>
        <v>0</v>
      </c>
      <c r="I34" s="289">
        <f t="shared" si="15"/>
        <v>0</v>
      </c>
      <c r="J34" s="289">
        <f>IF(Anos_ciclo&gt;3,I34+J33,)</f>
        <v>0</v>
      </c>
      <c r="K34" s="289">
        <f>IF(Anos_ciclo&gt;4,J34+K33,)</f>
        <v>0</v>
      </c>
    </row>
    <row r="35" spans="1:13" x14ac:dyDescent="0.25">
      <c r="C35" s="853" t="s">
        <v>767</v>
      </c>
      <c r="D35" s="854"/>
      <c r="E35" s="855"/>
      <c r="F35" s="289">
        <f>F32+F34</f>
        <v>0</v>
      </c>
      <c r="G35" s="289">
        <f t="shared" ref="G35:I35" si="16">G32+G34</f>
        <v>0</v>
      </c>
      <c r="H35" s="289">
        <f t="shared" si="16"/>
        <v>0</v>
      </c>
      <c r="I35" s="289">
        <f t="shared" si="16"/>
        <v>0</v>
      </c>
      <c r="J35" s="289">
        <f>IF(Anos_ciclo&gt;3,J32+J34,)</f>
        <v>0</v>
      </c>
      <c r="K35" s="289">
        <f>IF(Anos_ciclo&gt;4,K32+K34,)</f>
        <v>0</v>
      </c>
    </row>
    <row r="36" spans="1:13" x14ac:dyDescent="0.25">
      <c r="C36" s="856" t="s">
        <v>768</v>
      </c>
      <c r="D36" s="857"/>
      <c r="E36" s="858"/>
      <c r="F36" s="472">
        <f>F31+F35</f>
        <v>0</v>
      </c>
      <c r="G36" s="472">
        <f t="shared" ref="G36:I36" si="17">G31+G35</f>
        <v>0</v>
      </c>
      <c r="H36" s="472">
        <f t="shared" si="17"/>
        <v>0</v>
      </c>
      <c r="I36" s="472">
        <f t="shared" si="17"/>
        <v>0</v>
      </c>
      <c r="J36" s="472">
        <f>IF(Anos_ciclo&gt;3,J31+J35,)</f>
        <v>0</v>
      </c>
      <c r="K36" s="472">
        <f>IF(Anos_ciclo&gt;4,K31+K35,)</f>
        <v>0</v>
      </c>
    </row>
    <row r="37" spans="1:13" x14ac:dyDescent="0.25">
      <c r="C37" s="865" t="s">
        <v>778</v>
      </c>
      <c r="D37" s="866"/>
      <c r="E37" s="866"/>
      <c r="F37" s="291"/>
      <c r="G37" s="184"/>
      <c r="H37" s="184"/>
      <c r="I37" s="184"/>
      <c r="J37" s="184"/>
      <c r="K37" s="184"/>
    </row>
    <row r="38" spans="1:13" x14ac:dyDescent="0.25">
      <c r="C38" s="863" t="s">
        <v>335</v>
      </c>
      <c r="D38" s="864"/>
      <c r="E38" s="864"/>
      <c r="F38" s="473"/>
      <c r="G38" s="474">
        <f>SUM(G39:G41)</f>
        <v>0</v>
      </c>
      <c r="H38" s="474">
        <f t="shared" ref="H38:K38" si="18">SUM(H39:H41)</f>
        <v>0</v>
      </c>
      <c r="I38" s="474">
        <f t="shared" si="18"/>
        <v>0</v>
      </c>
      <c r="J38" s="474">
        <f t="shared" si="18"/>
        <v>0</v>
      </c>
      <c r="K38" s="474">
        <f t="shared" si="18"/>
        <v>0</v>
      </c>
    </row>
    <row r="39" spans="1:13" x14ac:dyDescent="0.25">
      <c r="C39" s="859" t="s">
        <v>774</v>
      </c>
      <c r="D39" s="860"/>
      <c r="E39" s="860"/>
      <c r="F39" s="292"/>
      <c r="G39" s="289">
        <f>IF(F36*'DADOS-Diversos'!$C$7/(1-'DADOS-Diversos'!$C$8)+$I$22*$I$23&gt;0,F36*'DADOS-Diversos'!$C$7/(1-'DADOS-Diversos'!$C$8)+$I$22*$I$23,0)</f>
        <v>0</v>
      </c>
      <c r="H39" s="289">
        <f>IF((G36*'DADOS-Diversos'!$C$7/(1-'DADOS-Diversos'!$C$8)+$I$22*I23)&gt;0,(G36*'DADOS-Diversos'!$C$7/(1-'DADOS-Diversos'!$C$8)+$I$22*$I$23),0)</f>
        <v>0</v>
      </c>
      <c r="I39" s="289">
        <f>IF((H36*'DADOS-Diversos'!$C$7/(1-'DADOS-Diversos'!$C$8)+$I$22*J23)&gt;0,(H36*'DADOS-Diversos'!$C$7/(1-'DADOS-Diversos'!$C$8)+$I$22*$I$23),0)</f>
        <v>0</v>
      </c>
      <c r="J39" s="289">
        <f>IF((I36*'DADOS-Diversos'!$C$7/(1-'DADOS-Diversos'!$C$8)+$I$22*K23)&gt;0,(I36*'DADOS-Diversos'!$C$7/(1-'DADOS-Diversos'!$C$8)+$I$22*$I$23),0)</f>
        <v>0</v>
      </c>
      <c r="K39" s="289">
        <f>IF((J36*'DADOS-Diversos'!$C$7/(1-'DADOS-Diversos'!$C$8)+$I$22*L23)&gt;0,(J36*'DADOS-Diversos'!$C$7/(1-'DADOS-Diversos'!$C$8)+$I$22*$I$23),0)</f>
        <v>0</v>
      </c>
    </row>
    <row r="40" spans="1:13" x14ac:dyDescent="0.25">
      <c r="C40" s="859" t="s">
        <v>775</v>
      </c>
      <c r="D40" s="860"/>
      <c r="E40" s="860"/>
      <c r="F40" s="292"/>
      <c r="G40" s="293">
        <f>-(G30+G33)</f>
        <v>0</v>
      </c>
      <c r="H40" s="293">
        <f t="shared" ref="H40:K40" si="19">-(H30+H33)</f>
        <v>0</v>
      </c>
      <c r="I40" s="293">
        <f t="shared" si="19"/>
        <v>0</v>
      </c>
      <c r="J40" s="293">
        <f t="shared" si="19"/>
        <v>0</v>
      </c>
      <c r="K40" s="293">
        <f t="shared" si="19"/>
        <v>0</v>
      </c>
    </row>
    <row r="41" spans="1:13" x14ac:dyDescent="0.25">
      <c r="C41" s="859" t="s">
        <v>776</v>
      </c>
      <c r="D41" s="860"/>
      <c r="E41" s="860"/>
      <c r="F41" s="292"/>
      <c r="G41" s="293">
        <f>A_OeM_Encargo*$F$22</f>
        <v>0</v>
      </c>
      <c r="H41" s="293">
        <f>A_OeM_Encargo*$F$22</f>
        <v>0</v>
      </c>
      <c r="I41" s="293">
        <f>A_OeM_Encargo*$F$22</f>
        <v>0</v>
      </c>
      <c r="J41" s="293">
        <f>IF(Anos_ciclo&gt;3,A_OeM_Encargo*$F$22,0)</f>
        <v>0</v>
      </c>
      <c r="K41" s="293">
        <f>IF(Anos_ciclo&gt;4,A_OeM_Encargo*$F$22,0)</f>
        <v>0</v>
      </c>
    </row>
    <row r="42" spans="1:13" x14ac:dyDescent="0.25">
      <c r="C42" s="863" t="s">
        <v>777</v>
      </c>
      <c r="D42" s="864"/>
      <c r="E42" s="864"/>
      <c r="F42" s="475"/>
      <c r="G42" s="476">
        <f>SUM(G43:G45)</f>
        <v>0</v>
      </c>
      <c r="H42" s="476">
        <f t="shared" ref="H42:K42" si="20">SUM(H43:H45)</f>
        <v>0</v>
      </c>
      <c r="I42" s="476">
        <f t="shared" si="20"/>
        <v>0</v>
      </c>
      <c r="J42" s="476">
        <f t="shared" si="20"/>
        <v>0</v>
      </c>
      <c r="K42" s="476">
        <f t="shared" si="20"/>
        <v>0</v>
      </c>
    </row>
    <row r="43" spans="1:13" x14ac:dyDescent="0.25">
      <c r="C43" s="859" t="s">
        <v>692</v>
      </c>
      <c r="D43" s="860"/>
      <c r="E43" s="860"/>
      <c r="F43" s="292"/>
      <c r="G43" s="289">
        <f>A_PeD*G38/(A_TFSEE*(-1-A_PeD)+1)</f>
        <v>0</v>
      </c>
      <c r="H43" s="289">
        <f>A_PeD*H38/(A_TFSEE*(-1-A_PeD)+1)</f>
        <v>0</v>
      </c>
      <c r="I43" s="289">
        <f>A_PeD*I38/(A_TFSEE*(-1-A_PeD)+1)</f>
        <v>0</v>
      </c>
      <c r="J43" s="289">
        <f>A_PeD*J38/(A_TFSEE*(-1-A_PeD)+1)</f>
        <v>0</v>
      </c>
      <c r="K43" s="289">
        <f>A_PeD*K38/(A_TFSEE*(-1-A_PeD)+1)</f>
        <v>0</v>
      </c>
    </row>
    <row r="44" spans="1:13" x14ac:dyDescent="0.25">
      <c r="C44" s="859" t="s">
        <v>693</v>
      </c>
      <c r="D44" s="860"/>
      <c r="E44" s="860"/>
      <c r="F44" s="292"/>
      <c r="G44" s="289">
        <f>A_TFSEE*(G38+G43)/(1-A_TFSEE)</f>
        <v>0</v>
      </c>
      <c r="H44" s="289">
        <f>A_TFSEE*(H38+H43)/(1-A_TFSEE)</f>
        <v>0</v>
      </c>
      <c r="I44" s="289">
        <f>A_TFSEE*(I38+I43)/(1-A_TFSEE)</f>
        <v>0</v>
      </c>
      <c r="J44" s="289">
        <f>A_TFSEE*(J38+J43)/(1-A_TFSEE)</f>
        <v>0</v>
      </c>
      <c r="K44" s="289">
        <f>A_TFSEE*(K38+K43)/(1-A_TFSEE)</f>
        <v>0</v>
      </c>
    </row>
    <row r="45" spans="1:13" x14ac:dyDescent="0.25">
      <c r="A45" s="54" t="s">
        <v>46</v>
      </c>
      <c r="C45" s="861"/>
      <c r="D45" s="862"/>
      <c r="E45" s="862"/>
      <c r="F45" s="292"/>
      <c r="G45" s="290"/>
      <c r="H45" s="273"/>
      <c r="I45" s="273"/>
      <c r="J45" s="273"/>
      <c r="K45" s="273"/>
    </row>
    <row r="46" spans="1:13" x14ac:dyDescent="0.25">
      <c r="C46" s="863" t="s">
        <v>53</v>
      </c>
      <c r="D46" s="864"/>
      <c r="E46" s="864"/>
      <c r="F46" s="477"/>
      <c r="G46" s="476">
        <f>G42+G38</f>
        <v>0</v>
      </c>
      <c r="H46" s="476">
        <f t="shared" ref="H46:K46" si="21">H42+H38</f>
        <v>0</v>
      </c>
      <c r="I46" s="476">
        <f t="shared" si="21"/>
        <v>0</v>
      </c>
      <c r="J46" s="476">
        <f t="shared" si="21"/>
        <v>0</v>
      </c>
      <c r="K46" s="476">
        <f t="shared" si="21"/>
        <v>0</v>
      </c>
    </row>
    <row r="48" spans="1:13" ht="3.75" customHeight="1" x14ac:dyDescent="0.25">
      <c r="A48" s="471"/>
      <c r="B48" s="471"/>
      <c r="C48" s="471"/>
      <c r="D48" s="471"/>
      <c r="E48" s="471"/>
      <c r="F48" s="471"/>
      <c r="G48" s="471"/>
      <c r="H48" s="471"/>
      <c r="I48" s="471"/>
      <c r="J48" s="471"/>
      <c r="K48" s="471"/>
      <c r="L48" s="471"/>
      <c r="M48" s="471"/>
    </row>
    <row r="49" spans="2:7" ht="2.25" customHeight="1" x14ac:dyDescent="0.25"/>
    <row r="50" spans="2:7" x14ac:dyDescent="0.25">
      <c r="B50" s="10" t="s">
        <v>779</v>
      </c>
    </row>
    <row r="51" spans="2:7" ht="3" customHeight="1" x14ac:dyDescent="0.25">
      <c r="B51" s="296"/>
    </row>
    <row r="52" spans="2:7" ht="26.25" x14ac:dyDescent="0.25">
      <c r="C52" s="873" t="s">
        <v>780</v>
      </c>
      <c r="D52" s="874"/>
      <c r="E52" s="291" t="s">
        <v>781</v>
      </c>
      <c r="F52" s="291" t="s">
        <v>782</v>
      </c>
      <c r="G52" s="291" t="s">
        <v>783</v>
      </c>
    </row>
    <row r="53" spans="2:7" x14ac:dyDescent="0.25">
      <c r="C53" s="867" t="s">
        <v>335</v>
      </c>
      <c r="D53" s="868"/>
      <c r="E53" s="294">
        <f>IF(J38=0,NPV(WACC,$G$38:$I$38),IF(K38=0,NPV(WACC,$G$38:$J$38),NPV(WACC,$G$38:$K$38)))</f>
        <v>0</v>
      </c>
      <c r="F53" s="294">
        <f t="shared" ref="F53:F60" si="22">-PMT(WACC,Anos_ciclo,E53,0,0)</f>
        <v>0</v>
      </c>
      <c r="G53" s="294">
        <f>$F$53/12</f>
        <v>0</v>
      </c>
    </row>
    <row r="54" spans="2:7" x14ac:dyDescent="0.25">
      <c r="C54" s="851" t="s">
        <v>774</v>
      </c>
      <c r="D54" s="852"/>
      <c r="E54" s="297">
        <f>IF(J39=0,NPV(WACC,$G$39:$I$39),IF(K39=0,NPV(WACC,$G$39:$J$39),NPV(WACC,$G$39:$K$39)))</f>
        <v>0</v>
      </c>
      <c r="F54" s="297">
        <f t="shared" si="22"/>
        <v>0</v>
      </c>
      <c r="G54" s="297">
        <f>F54/12</f>
        <v>0</v>
      </c>
    </row>
    <row r="55" spans="2:7" x14ac:dyDescent="0.25">
      <c r="C55" s="851" t="s">
        <v>775</v>
      </c>
      <c r="D55" s="852"/>
      <c r="E55" s="297">
        <f>IF(J40=0,NPV(WACC,$G$40:$I$40),IF(K40=0,NPV(WACC,$G$40:$J$40),NPV(WACC,$G$40:$K$40)))</f>
        <v>0</v>
      </c>
      <c r="F55" s="297">
        <f t="shared" si="22"/>
        <v>0</v>
      </c>
      <c r="G55" s="297">
        <f t="shared" ref="G55:G60" si="23">F55/12</f>
        <v>0</v>
      </c>
    </row>
    <row r="56" spans="2:7" x14ac:dyDescent="0.25">
      <c r="C56" s="851" t="s">
        <v>784</v>
      </c>
      <c r="D56" s="852"/>
      <c r="E56" s="297">
        <f>IF(J41=0,NPV(WACC,$G$41:$I$41),IF(K41=0,NPV(WACC,$G$41:$J$41),NPV(WACC,$G$41:$K$41)))</f>
        <v>0</v>
      </c>
      <c r="F56" s="297">
        <f t="shared" si="22"/>
        <v>0</v>
      </c>
      <c r="G56" s="297">
        <f t="shared" si="23"/>
        <v>0</v>
      </c>
    </row>
    <row r="57" spans="2:7" x14ac:dyDescent="0.25">
      <c r="C57" s="867" t="s">
        <v>777</v>
      </c>
      <c r="D57" s="868"/>
      <c r="E57" s="294">
        <f>IF(J42=0,NPV(WACC,$G$42:$I$42),IF(K42=0,NPV(WACC,$G$42:$J$42),NPV(WACC,$G$42:$J$42)))</f>
        <v>0</v>
      </c>
      <c r="F57" s="294">
        <f t="shared" si="22"/>
        <v>0</v>
      </c>
      <c r="G57" s="294">
        <f t="shared" si="23"/>
        <v>0</v>
      </c>
    </row>
    <row r="58" spans="2:7" x14ac:dyDescent="0.25">
      <c r="C58" s="851" t="s">
        <v>692</v>
      </c>
      <c r="D58" s="852"/>
      <c r="E58" s="297">
        <f>IF(J43=0,NPV(WACC,$G$43:$I$43),IF(K43=0,NPV(WACC,$G$43:$J$43),NPV(WACC,$G$43:$K$43)))</f>
        <v>0</v>
      </c>
      <c r="F58" s="297">
        <f t="shared" si="22"/>
        <v>0</v>
      </c>
      <c r="G58" s="297">
        <f t="shared" si="23"/>
        <v>0</v>
      </c>
    </row>
    <row r="59" spans="2:7" x14ac:dyDescent="0.25">
      <c r="C59" s="851" t="s">
        <v>693</v>
      </c>
      <c r="D59" s="852"/>
      <c r="E59" s="297">
        <f>IF(J44=0,NPV(WACC,$G$44:$I$44),IF(K44=0,NPV(WACC,$G$44:$J$44),NPV(WACC,$G$44:$K$44)))</f>
        <v>0</v>
      </c>
      <c r="F59" s="297">
        <f t="shared" si="22"/>
        <v>0</v>
      </c>
      <c r="G59" s="297">
        <f t="shared" si="23"/>
        <v>0</v>
      </c>
    </row>
    <row r="60" spans="2:7" x14ac:dyDescent="0.25">
      <c r="C60" s="867" t="s">
        <v>53</v>
      </c>
      <c r="D60" s="868"/>
      <c r="E60" s="478">
        <f>IF(J44=0,NPV(WACC,$G$46:$I$46),IF(K44=0,NPV(WACC,$G$46:$J$46),NPV(WACC,$G$46:$K$46)))</f>
        <v>0</v>
      </c>
      <c r="F60" s="478">
        <f t="shared" si="22"/>
        <v>0</v>
      </c>
      <c r="G60" s="478">
        <f t="shared" si="23"/>
        <v>0</v>
      </c>
    </row>
    <row r="62" spans="2:7" ht="3.75" customHeight="1" x14ac:dyDescent="0.25"/>
    <row r="66" spans="2:9" ht="26.25" x14ac:dyDescent="0.25">
      <c r="B66" s="291" t="s">
        <v>806</v>
      </c>
      <c r="C66" s="291" t="s">
        <v>792</v>
      </c>
      <c r="D66" s="291" t="s">
        <v>793</v>
      </c>
      <c r="E66" s="291" t="s">
        <v>807</v>
      </c>
      <c r="F66" s="291" t="s">
        <v>808</v>
      </c>
      <c r="G66" s="291" t="s">
        <v>409</v>
      </c>
      <c r="H66" s="291" t="s">
        <v>809</v>
      </c>
      <c r="I66" s="291" t="s">
        <v>810</v>
      </c>
    </row>
    <row r="67" spans="2:9" x14ac:dyDescent="0.25">
      <c r="B67" s="309" t="s">
        <v>572</v>
      </c>
      <c r="C67" s="309" t="s">
        <v>4</v>
      </c>
      <c r="D67" s="309" t="s">
        <v>168</v>
      </c>
      <c r="E67" s="309" t="s">
        <v>811</v>
      </c>
      <c r="F67" s="309">
        <f>$D$3</f>
        <v>0</v>
      </c>
      <c r="G67" s="309" t="s">
        <v>789</v>
      </c>
      <c r="H67" s="309" t="s">
        <v>29</v>
      </c>
      <c r="I67" s="294">
        <f>$F$53</f>
        <v>0</v>
      </c>
    </row>
    <row r="68" spans="2:9" x14ac:dyDescent="0.25">
      <c r="B68" s="309" t="s">
        <v>572</v>
      </c>
      <c r="C68" s="309" t="s">
        <v>4</v>
      </c>
      <c r="D68" s="309" t="s">
        <v>168</v>
      </c>
      <c r="E68" s="309" t="s">
        <v>812</v>
      </c>
      <c r="F68" s="309">
        <f t="shared" ref="F68:F69" si="24">$D$3</f>
        <v>0</v>
      </c>
      <c r="G68" s="309" t="s">
        <v>789</v>
      </c>
      <c r="H68" s="309" t="s">
        <v>29</v>
      </c>
      <c r="I68" s="294">
        <f>$F$58</f>
        <v>0</v>
      </c>
    </row>
    <row r="69" spans="2:9" x14ac:dyDescent="0.25">
      <c r="B69" s="309" t="s">
        <v>572</v>
      </c>
      <c r="C69" s="309" t="s">
        <v>4</v>
      </c>
      <c r="D69" s="309" t="s">
        <v>168</v>
      </c>
      <c r="E69" s="309" t="s">
        <v>813</v>
      </c>
      <c r="F69" s="309">
        <f t="shared" si="24"/>
        <v>0</v>
      </c>
      <c r="G69" s="309" t="s">
        <v>789</v>
      </c>
      <c r="H69" s="309" t="s">
        <v>29</v>
      </c>
      <c r="I69" s="294">
        <f>$F$59</f>
        <v>0</v>
      </c>
    </row>
  </sheetData>
  <mergeCells count="46">
    <mergeCell ref="C38:E38"/>
    <mergeCell ref="L11:L12"/>
    <mergeCell ref="N11:N12"/>
    <mergeCell ref="O11:O12"/>
    <mergeCell ref="C33:E33"/>
    <mergeCell ref="C34:E34"/>
    <mergeCell ref="C27:E27"/>
    <mergeCell ref="C32:E32"/>
    <mergeCell ref="B2:C2"/>
    <mergeCell ref="B3:C3"/>
    <mergeCell ref="C52:D52"/>
    <mergeCell ref="T11:T12"/>
    <mergeCell ref="C28:E28"/>
    <mergeCell ref="C29:E29"/>
    <mergeCell ref="C30:E30"/>
    <mergeCell ref="C31:E31"/>
    <mergeCell ref="P11:P12"/>
    <mergeCell ref="B22:D22"/>
    <mergeCell ref="Q11:Q12"/>
    <mergeCell ref="R11:R12"/>
    <mergeCell ref="S11:S12"/>
    <mergeCell ref="E11:F11"/>
    <mergeCell ref="H11:I11"/>
    <mergeCell ref="J11:J12"/>
    <mergeCell ref="C60:D60"/>
    <mergeCell ref="C53:D53"/>
    <mergeCell ref="C54:D54"/>
    <mergeCell ref="C55:D55"/>
    <mergeCell ref="C56:D56"/>
    <mergeCell ref="C57:D57"/>
    <mergeCell ref="G7:H7"/>
    <mergeCell ref="G8:H8"/>
    <mergeCell ref="G6:I6"/>
    <mergeCell ref="C58:D58"/>
    <mergeCell ref="C59:D59"/>
    <mergeCell ref="C35:E35"/>
    <mergeCell ref="C36:E36"/>
    <mergeCell ref="C44:E44"/>
    <mergeCell ref="C45:E45"/>
    <mergeCell ref="C46:E46"/>
    <mergeCell ref="C37:E37"/>
    <mergeCell ref="C39:E39"/>
    <mergeCell ref="C40:E40"/>
    <mergeCell ref="C41:E41"/>
    <mergeCell ref="C42:E42"/>
    <mergeCell ref="C43:E43"/>
  </mergeCells>
  <dataValidations disablePrompts="1" count="3">
    <dataValidation type="list" allowBlank="1" showInputMessage="1" showErrorMessage="1" sqref="E3" xr:uid="{00000000-0002-0000-1100-000000000000}">
      <formula1>"A1,A2,A3,A3a,A4,B"</formula1>
    </dataValidation>
    <dataValidation type="list" allowBlank="1" showInputMessage="1" showErrorMessage="1" sqref="F3" xr:uid="{00000000-0002-0000-1100-000001000000}">
      <formula1>"AZUL,VERDE,DISTRIBUIÇÃO"</formula1>
    </dataValidation>
    <dataValidation type="list" allowBlank="1" showInputMessage="1" showErrorMessage="1" sqref="G3" xr:uid="{00000000-0002-0000-1100-000002000000}">
      <formula1>"D1, D3, C1, NA"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1100-000003000000}">
          <x14:formula1>
            <xm:f>Aux!$C$99:$C$102</xm:f>
          </x14:formula1>
          <xm:sqref>B13:B21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6">
    <tabColor rgb="FF7030A0"/>
  </sheetPr>
  <dimension ref="B1:T83"/>
  <sheetViews>
    <sheetView showGridLines="0" zoomScaleNormal="100" workbookViewId="0">
      <selection activeCell="P5" sqref="P5"/>
    </sheetView>
  </sheetViews>
  <sheetFormatPr defaultRowHeight="15" x14ac:dyDescent="0.25"/>
  <cols>
    <col min="1" max="1" width="1.28515625" customWidth="1"/>
    <col min="2" max="2" width="9.5703125" bestFit="1" customWidth="1"/>
    <col min="3" max="3" width="28.140625" customWidth="1"/>
    <col min="4" max="4" width="15.85546875" bestFit="1" customWidth="1"/>
    <col min="5" max="5" width="23" bestFit="1" customWidth="1"/>
    <col min="6" max="6" width="21.42578125" customWidth="1"/>
    <col min="7" max="7" width="7.85546875" bestFit="1" customWidth="1"/>
    <col min="8" max="8" width="16" customWidth="1"/>
    <col min="9" max="9" width="8.140625" bestFit="1" customWidth="1"/>
    <col min="10" max="19" width="10.7109375" customWidth="1"/>
    <col min="20" max="20" width="53.5703125" customWidth="1"/>
  </cols>
  <sheetData>
    <row r="1" spans="2:20" x14ac:dyDescent="0.25">
      <c r="B1" s="2"/>
    </row>
    <row r="2" spans="2:20" x14ac:dyDescent="0.25">
      <c r="B2" s="2"/>
      <c r="H2" s="310" t="s">
        <v>3465</v>
      </c>
      <c r="I2" s="310" t="s">
        <v>3125</v>
      </c>
    </row>
    <row r="3" spans="2:20" x14ac:dyDescent="0.25">
      <c r="B3" s="2"/>
      <c r="H3" s="664">
        <f>LNKTXT_datartp</f>
        <v>44764</v>
      </c>
      <c r="I3" s="665" t="s">
        <v>728</v>
      </c>
    </row>
    <row r="4" spans="2:20" x14ac:dyDescent="0.25">
      <c r="H4" s="314"/>
      <c r="I4" s="311"/>
    </row>
    <row r="5" spans="2:20" x14ac:dyDescent="0.25">
      <c r="B5" s="340" t="s">
        <v>3487</v>
      </c>
      <c r="H5" s="314"/>
      <c r="I5" s="311"/>
    </row>
    <row r="6" spans="2:20" x14ac:dyDescent="0.25">
      <c r="B6" s="611" t="s">
        <v>3476</v>
      </c>
      <c r="H6" s="314"/>
      <c r="I6" s="311"/>
    </row>
    <row r="7" spans="2:20" x14ac:dyDescent="0.25">
      <c r="B7" s="2"/>
      <c r="H7" s="314"/>
      <c r="I7" s="311"/>
    </row>
    <row r="9" spans="2:20" ht="15.75" thickBot="1" x14ac:dyDescent="0.3">
      <c r="B9" s="299" t="s">
        <v>792</v>
      </c>
      <c r="C9" s="300" t="s">
        <v>793</v>
      </c>
      <c r="D9" s="300" t="s">
        <v>794</v>
      </c>
      <c r="E9" s="300" t="s">
        <v>801</v>
      </c>
      <c r="F9" s="300" t="s">
        <v>802</v>
      </c>
      <c r="G9" s="300" t="s">
        <v>795</v>
      </c>
      <c r="H9" s="300" t="s">
        <v>409</v>
      </c>
      <c r="I9" s="300" t="s">
        <v>796</v>
      </c>
      <c r="J9" s="300" t="s">
        <v>585</v>
      </c>
      <c r="K9" s="300" t="s">
        <v>514</v>
      </c>
      <c r="L9" s="300" t="s">
        <v>564</v>
      </c>
      <c r="M9" s="300" t="s">
        <v>572</v>
      </c>
      <c r="N9" s="300" t="s">
        <v>582</v>
      </c>
      <c r="O9" s="300" t="s">
        <v>512</v>
      </c>
      <c r="P9" s="300" t="s">
        <v>790</v>
      </c>
      <c r="Q9" s="300" t="s">
        <v>791</v>
      </c>
      <c r="R9" s="300" t="s">
        <v>693</v>
      </c>
      <c r="S9" s="300" t="s">
        <v>692</v>
      </c>
      <c r="T9" s="301" t="s">
        <v>799</v>
      </c>
    </row>
    <row r="10" spans="2:20" x14ac:dyDescent="0.25">
      <c r="B10" s="302" t="s">
        <v>4</v>
      </c>
      <c r="C10" s="303" t="s">
        <v>168</v>
      </c>
      <c r="D10" s="446"/>
      <c r="E10" s="303" t="s">
        <v>789</v>
      </c>
      <c r="F10" s="303" t="s">
        <v>789</v>
      </c>
      <c r="G10" s="303" t="s">
        <v>789</v>
      </c>
      <c r="H10" s="303" t="s">
        <v>549</v>
      </c>
      <c r="I10" s="303" t="s">
        <v>502</v>
      </c>
      <c r="J10" s="429"/>
      <c r="K10" s="430"/>
      <c r="L10" s="430"/>
      <c r="M10" s="430"/>
      <c r="N10" s="430"/>
      <c r="O10" s="430"/>
      <c r="P10" s="430"/>
      <c r="Q10" s="430"/>
      <c r="R10" s="430"/>
      <c r="S10" s="431"/>
      <c r="T10" s="586" t="s">
        <v>798</v>
      </c>
    </row>
    <row r="11" spans="2:20" x14ac:dyDescent="0.25">
      <c r="B11" s="304" t="s">
        <v>4</v>
      </c>
      <c r="C11" s="2" t="s">
        <v>168</v>
      </c>
      <c r="D11" s="447"/>
      <c r="E11" s="2" t="s">
        <v>789</v>
      </c>
      <c r="F11" s="2" t="s">
        <v>789</v>
      </c>
      <c r="G11" s="2" t="s">
        <v>789</v>
      </c>
      <c r="H11" s="2" t="s">
        <v>555</v>
      </c>
      <c r="I11" s="2" t="s">
        <v>502</v>
      </c>
      <c r="J11" s="432"/>
      <c r="K11" s="433"/>
      <c r="L11" s="433"/>
      <c r="M11" s="433"/>
      <c r="N11" s="433"/>
      <c r="O11" s="433"/>
      <c r="P11" s="433"/>
      <c r="Q11" s="433"/>
      <c r="R11" s="433"/>
      <c r="S11" s="434"/>
      <c r="T11" s="587" t="s">
        <v>798</v>
      </c>
    </row>
    <row r="12" spans="2:20" ht="15.75" thickBot="1" x14ac:dyDescent="0.3">
      <c r="B12" s="305" t="s">
        <v>4</v>
      </c>
      <c r="C12" s="306" t="s">
        <v>168</v>
      </c>
      <c r="D12" s="448"/>
      <c r="E12" s="306" t="s">
        <v>789</v>
      </c>
      <c r="F12" s="306" t="s">
        <v>789</v>
      </c>
      <c r="G12" s="306" t="s">
        <v>789</v>
      </c>
      <c r="H12" s="306" t="s">
        <v>789</v>
      </c>
      <c r="I12" s="306" t="s">
        <v>689</v>
      </c>
      <c r="J12" s="435"/>
      <c r="K12" s="435"/>
      <c r="L12" s="435"/>
      <c r="M12" s="435"/>
      <c r="N12" s="435"/>
      <c r="O12" s="435"/>
      <c r="P12" s="436" t="str">
        <f>IF(J11&lt;&gt;0,FPE_AT1*PMIX_ENERGIA_MWh,"")</f>
        <v/>
      </c>
      <c r="Q12" s="435"/>
      <c r="R12" s="435"/>
      <c r="S12" s="437"/>
      <c r="T12" s="587"/>
    </row>
    <row r="13" spans="2:20" x14ac:dyDescent="0.25">
      <c r="B13" s="302" t="s">
        <v>156</v>
      </c>
      <c r="C13" s="303" t="s">
        <v>168</v>
      </c>
      <c r="D13" s="303" t="s">
        <v>789</v>
      </c>
      <c r="E13" s="303" t="s">
        <v>789</v>
      </c>
      <c r="F13" s="303" t="s">
        <v>789</v>
      </c>
      <c r="G13" s="303" t="s">
        <v>789</v>
      </c>
      <c r="H13" s="303" t="s">
        <v>549</v>
      </c>
      <c r="I13" s="303" t="s">
        <v>502</v>
      </c>
      <c r="J13" s="438" t="str">
        <f>IF('FIO B'!$E$7&lt;&gt;0,TR_RB_A2_P,"")</f>
        <v/>
      </c>
      <c r="K13" s="438" t="str">
        <f>IF('FIO B'!$E$7&lt;&gt;0,TR_FR_A2_P,"")</f>
        <v/>
      </c>
      <c r="L13" s="438" t="str">
        <f>IF('FIO B'!$E$7&lt;&gt;0,TR_CCT_A2_P,"")</f>
        <v/>
      </c>
      <c r="M13" s="438" t="str">
        <f>IF('FIO B'!$E$7&lt;&gt;0,TR_CCD_A2_P,"")</f>
        <v/>
      </c>
      <c r="N13" s="438" t="str">
        <f>IF('FIO B'!$E$7&lt;&gt;0,TR_CUSD_A2_P,"")</f>
        <v/>
      </c>
      <c r="O13" s="438" t="str">
        <f>IF('FIO B'!$E$7&lt;&gt;0,TR_FIOB_A2_P,"")</f>
        <v/>
      </c>
      <c r="P13" s="430"/>
      <c r="Q13" s="430"/>
      <c r="R13" s="430"/>
      <c r="S13" s="431"/>
      <c r="T13" s="587"/>
    </row>
    <row r="14" spans="2:20" x14ac:dyDescent="0.25">
      <c r="B14" s="304" t="s">
        <v>156</v>
      </c>
      <c r="C14" s="2" t="s">
        <v>168</v>
      </c>
      <c r="D14" s="2" t="s">
        <v>789</v>
      </c>
      <c r="E14" s="2" t="s">
        <v>789</v>
      </c>
      <c r="F14" s="2" t="s">
        <v>789</v>
      </c>
      <c r="G14" s="2" t="s">
        <v>789</v>
      </c>
      <c r="H14" s="2" t="s">
        <v>555</v>
      </c>
      <c r="I14" s="2" t="s">
        <v>502</v>
      </c>
      <c r="J14" s="439" t="str">
        <f>IF('FIO B'!$E$7&lt;&gt;0,TR_RB_A2_FP,"")</f>
        <v/>
      </c>
      <c r="K14" s="439" t="str">
        <f>IF('FIO B'!$E$7&lt;&gt;0,TR_FR_A2_FP,"")</f>
        <v/>
      </c>
      <c r="L14" s="439" t="str">
        <f>IF('FIO B'!$E$7&lt;&gt;0,TR_CCT_A2_FP,"")</f>
        <v/>
      </c>
      <c r="M14" s="439" t="str">
        <f>IF('FIO B'!$E$7&lt;&gt;0,TR_CCD_A2_FP,"")</f>
        <v/>
      </c>
      <c r="N14" s="439" t="str">
        <f>IF('FIO B'!$E$7&lt;&gt;0,TR_CUSD_A2_FP,"")</f>
        <v/>
      </c>
      <c r="O14" s="439" t="str">
        <f>IF('FIO B'!$E$7&lt;&gt;0,TR_FIOB_A2_FP,"")</f>
        <v/>
      </c>
      <c r="P14" s="433"/>
      <c r="Q14" s="433"/>
      <c r="R14" s="433"/>
      <c r="S14" s="434"/>
      <c r="T14" s="587"/>
    </row>
    <row r="15" spans="2:20" ht="15.75" thickBot="1" x14ac:dyDescent="0.3">
      <c r="B15" s="305" t="s">
        <v>156</v>
      </c>
      <c r="C15" s="306" t="s">
        <v>168</v>
      </c>
      <c r="D15" s="306" t="s">
        <v>789</v>
      </c>
      <c r="E15" s="306" t="s">
        <v>789</v>
      </c>
      <c r="F15" s="306" t="s">
        <v>789</v>
      </c>
      <c r="G15" s="306" t="s">
        <v>789</v>
      </c>
      <c r="H15" s="306" t="s">
        <v>789</v>
      </c>
      <c r="I15" s="306" t="s">
        <v>689</v>
      </c>
      <c r="J15" s="435"/>
      <c r="K15" s="435"/>
      <c r="L15" s="435"/>
      <c r="M15" s="435"/>
      <c r="N15" s="435"/>
      <c r="O15" s="435"/>
      <c r="P15" s="436" t="str">
        <f>IF('FIO B'!$E$7&lt;&gt;0,FPE_AT2*PMIX_ENERGIA_MWh,"")</f>
        <v/>
      </c>
      <c r="Q15" s="436" t="str">
        <f>IF('FIO B'!$E$7&lt;&gt;0,FPE_AT2*PMIX_ENERGIA_MWh,"")</f>
        <v/>
      </c>
      <c r="R15" s="435"/>
      <c r="S15" s="437"/>
      <c r="T15" s="587"/>
    </row>
    <row r="16" spans="2:20" x14ac:dyDescent="0.25">
      <c r="B16" s="302" t="s">
        <v>156</v>
      </c>
      <c r="C16" s="303" t="s">
        <v>168</v>
      </c>
      <c r="D16" s="447"/>
      <c r="E16" s="303" t="s">
        <v>789</v>
      </c>
      <c r="F16" s="303" t="s">
        <v>789</v>
      </c>
      <c r="G16" s="2" t="s">
        <v>789</v>
      </c>
      <c r="H16" s="303" t="s">
        <v>549</v>
      </c>
      <c r="I16" s="303" t="s">
        <v>502</v>
      </c>
      <c r="J16" s="429"/>
      <c r="K16" s="429"/>
      <c r="L16" s="430"/>
      <c r="M16" s="430"/>
      <c r="N16" s="430"/>
      <c r="O16" s="430"/>
      <c r="P16" s="430"/>
      <c r="Q16" s="430"/>
      <c r="R16" s="430"/>
      <c r="S16" s="431"/>
      <c r="T16" s="587" t="s">
        <v>3581</v>
      </c>
    </row>
    <row r="17" spans="2:20" x14ac:dyDescent="0.25">
      <c r="B17" s="304" t="s">
        <v>156</v>
      </c>
      <c r="C17" s="2" t="s">
        <v>168</v>
      </c>
      <c r="D17" s="447"/>
      <c r="E17" s="2" t="s">
        <v>789</v>
      </c>
      <c r="F17" s="2" t="s">
        <v>789</v>
      </c>
      <c r="G17" s="2" t="s">
        <v>789</v>
      </c>
      <c r="H17" s="2" t="s">
        <v>555</v>
      </c>
      <c r="I17" s="2" t="s">
        <v>502</v>
      </c>
      <c r="J17" s="432"/>
      <c r="K17" s="432"/>
      <c r="L17" s="433"/>
      <c r="M17" s="433"/>
      <c r="N17" s="433"/>
      <c r="O17" s="433"/>
      <c r="P17" s="433"/>
      <c r="Q17" s="433"/>
      <c r="R17" s="433"/>
      <c r="S17" s="434"/>
      <c r="T17" s="587" t="s">
        <v>3581</v>
      </c>
    </row>
    <row r="18" spans="2:20" ht="15.75" thickBot="1" x14ac:dyDescent="0.3">
      <c r="B18" s="305" t="s">
        <v>156</v>
      </c>
      <c r="C18" s="306" t="s">
        <v>168</v>
      </c>
      <c r="D18" s="448"/>
      <c r="E18" s="306" t="s">
        <v>789</v>
      </c>
      <c r="F18" s="306" t="s">
        <v>789</v>
      </c>
      <c r="G18" s="306" t="s">
        <v>789</v>
      </c>
      <c r="H18" s="306" t="s">
        <v>789</v>
      </c>
      <c r="I18" s="306" t="s">
        <v>689</v>
      </c>
      <c r="J18" s="435"/>
      <c r="K18" s="435"/>
      <c r="L18" s="435"/>
      <c r="M18" s="435"/>
      <c r="N18" s="435"/>
      <c r="O18" s="435"/>
      <c r="P18" s="436" t="str">
        <f>IF(D18&lt;&gt;0,0,"")</f>
        <v/>
      </c>
      <c r="Q18" s="436" t="str">
        <f>IF(D18&lt;&gt;0,0,"")</f>
        <v/>
      </c>
      <c r="R18" s="435"/>
      <c r="S18" s="437"/>
      <c r="T18" s="587"/>
    </row>
    <row r="19" spans="2:20" x14ac:dyDescent="0.25">
      <c r="B19" s="302" t="s">
        <v>156</v>
      </c>
      <c r="C19" s="303" t="s">
        <v>797</v>
      </c>
      <c r="D19" s="447"/>
      <c r="E19" s="303" t="s">
        <v>789</v>
      </c>
      <c r="F19" s="303" t="s">
        <v>789</v>
      </c>
      <c r="G19" s="303" t="s">
        <v>685</v>
      </c>
      <c r="H19" s="303" t="s">
        <v>549</v>
      </c>
      <c r="I19" s="303" t="s">
        <v>502</v>
      </c>
      <c r="J19" s="429"/>
      <c r="K19" s="429"/>
      <c r="L19" s="430"/>
      <c r="M19" s="430"/>
      <c r="N19" s="430"/>
      <c r="O19" s="430"/>
      <c r="P19" s="430"/>
      <c r="Q19" s="430"/>
      <c r="R19" s="430"/>
      <c r="S19" s="431"/>
      <c r="T19" s="587" t="s">
        <v>800</v>
      </c>
    </row>
    <row r="20" spans="2:20" x14ac:dyDescent="0.25">
      <c r="B20" s="304" t="s">
        <v>156</v>
      </c>
      <c r="C20" s="2" t="s">
        <v>797</v>
      </c>
      <c r="D20" s="447"/>
      <c r="E20" s="2" t="s">
        <v>789</v>
      </c>
      <c r="F20" s="2" t="s">
        <v>789</v>
      </c>
      <c r="G20" s="2" t="s">
        <v>685</v>
      </c>
      <c r="H20" s="2" t="s">
        <v>555</v>
      </c>
      <c r="I20" s="2" t="s">
        <v>502</v>
      </c>
      <c r="J20" s="432"/>
      <c r="K20" s="432"/>
      <c r="L20" s="433"/>
      <c r="M20" s="433"/>
      <c r="N20" s="433"/>
      <c r="O20" s="433"/>
      <c r="P20" s="433"/>
      <c r="Q20" s="433"/>
      <c r="R20" s="433"/>
      <c r="S20" s="434"/>
      <c r="T20" s="587" t="s">
        <v>800</v>
      </c>
    </row>
    <row r="21" spans="2:20" ht="15.75" thickBot="1" x14ac:dyDescent="0.3">
      <c r="B21" s="305" t="s">
        <v>156</v>
      </c>
      <c r="C21" s="306" t="s">
        <v>797</v>
      </c>
      <c r="D21" s="448"/>
      <c r="E21" s="306" t="s">
        <v>789</v>
      </c>
      <c r="F21" s="306" t="s">
        <v>789</v>
      </c>
      <c r="G21" s="306" t="s">
        <v>685</v>
      </c>
      <c r="H21" s="306" t="s">
        <v>789</v>
      </c>
      <c r="I21" s="306" t="s">
        <v>689</v>
      </c>
      <c r="J21" s="435"/>
      <c r="K21" s="435"/>
      <c r="L21" s="435"/>
      <c r="M21" s="435"/>
      <c r="N21" s="435"/>
      <c r="O21" s="435"/>
      <c r="P21" s="436" t="str">
        <f>IF(D21&lt;&gt;0,FPE_AT2*PMIX_ENERGIA_MWh,"")</f>
        <v/>
      </c>
      <c r="Q21" s="436" t="str">
        <f>IF(D21&lt;&gt;0,FPE_AT2*PMIX_ENERGIA_MWh,"")</f>
        <v/>
      </c>
      <c r="R21" s="435"/>
      <c r="S21" s="437"/>
      <c r="T21" s="587"/>
    </row>
    <row r="22" spans="2:20" x14ac:dyDescent="0.25">
      <c r="B22" s="302" t="s">
        <v>156</v>
      </c>
      <c r="C22" s="303" t="s">
        <v>797</v>
      </c>
      <c r="D22" s="447"/>
      <c r="E22" s="303" t="s">
        <v>789</v>
      </c>
      <c r="F22" s="303" t="s">
        <v>789</v>
      </c>
      <c r="G22" s="303" t="s">
        <v>686</v>
      </c>
      <c r="H22" s="303" t="s">
        <v>549</v>
      </c>
      <c r="I22" s="303" t="s">
        <v>502</v>
      </c>
      <c r="J22" s="438" t="str">
        <f>IF(D22&lt;&gt;0,TR_RB_A2_P,"")</f>
        <v/>
      </c>
      <c r="K22" s="438" t="str">
        <f>IF(D22&lt;&gt;0,TR_FR_A2_P,"")</f>
        <v/>
      </c>
      <c r="L22" s="438" t="str">
        <f>IF(D22&lt;&gt;0,TR_CCT_A2_P,"")</f>
        <v/>
      </c>
      <c r="M22" s="438" t="str">
        <f>IF(D22&lt;&gt;0,TR_CCD_A2_P,"")</f>
        <v/>
      </c>
      <c r="N22" s="438" t="str">
        <f>IF(D23&lt;&gt;0,TR_CUSD_A2_P,"")</f>
        <v/>
      </c>
      <c r="O22" s="438" t="str">
        <f>IF(D22&lt;&gt;0,TR_FIOB_A2_P,"")</f>
        <v/>
      </c>
      <c r="P22" s="430"/>
      <c r="Q22" s="430"/>
      <c r="R22" s="430"/>
      <c r="S22" s="431"/>
      <c r="T22" s="587"/>
    </row>
    <row r="23" spans="2:20" x14ac:dyDescent="0.25">
      <c r="B23" s="304" t="s">
        <v>156</v>
      </c>
      <c r="C23" s="2" t="s">
        <v>797</v>
      </c>
      <c r="D23" s="447"/>
      <c r="E23" s="2" t="s">
        <v>789</v>
      </c>
      <c r="F23" s="2" t="s">
        <v>789</v>
      </c>
      <c r="G23" s="2" t="s">
        <v>686</v>
      </c>
      <c r="H23" s="2" t="s">
        <v>555</v>
      </c>
      <c r="I23" s="2" t="s">
        <v>502</v>
      </c>
      <c r="J23" s="439" t="str">
        <f>IF(D23&lt;&gt;0,TR_RB_A2_FP,"")</f>
        <v/>
      </c>
      <c r="K23" s="439" t="str">
        <f>IF(D23&lt;&gt;0,TR_FR_A2_FP,"")</f>
        <v/>
      </c>
      <c r="L23" s="439" t="str">
        <f>IF(D23&lt;&gt;0,TR_CCT_A2_FP,"")</f>
        <v/>
      </c>
      <c r="M23" s="439" t="str">
        <f>IF(D23&lt;&gt;0,TR_CCD_A2_FP,"")</f>
        <v/>
      </c>
      <c r="N23" s="439" t="str">
        <f>IF(D23&lt;&gt;0,TR_CUSD_A2_FP,"")</f>
        <v/>
      </c>
      <c r="O23" s="439" t="str">
        <f>IF(D23&lt;&gt;0,TR_FIOB_A2_FP,"")</f>
        <v/>
      </c>
      <c r="P23" s="433"/>
      <c r="Q23" s="433"/>
      <c r="R23" s="433"/>
      <c r="S23" s="434"/>
      <c r="T23" s="587"/>
    </row>
    <row r="24" spans="2:20" ht="15.75" thickBot="1" x14ac:dyDescent="0.3">
      <c r="B24" s="305" t="s">
        <v>156</v>
      </c>
      <c r="C24" s="306" t="s">
        <v>797</v>
      </c>
      <c r="D24" s="447"/>
      <c r="E24" s="306" t="s">
        <v>789</v>
      </c>
      <c r="F24" s="306" t="s">
        <v>789</v>
      </c>
      <c r="G24" s="306" t="s">
        <v>686</v>
      </c>
      <c r="H24" s="306" t="s">
        <v>789</v>
      </c>
      <c r="I24" s="306" t="s">
        <v>689</v>
      </c>
      <c r="J24" s="435"/>
      <c r="K24" s="435"/>
      <c r="L24" s="435"/>
      <c r="M24" s="435"/>
      <c r="N24" s="435"/>
      <c r="O24" s="435"/>
      <c r="P24" s="436" t="str">
        <f>IF(D24&lt;&gt;0,FPE_AT2*PMIX_ENERGIA_MWh,"")</f>
        <v/>
      </c>
      <c r="Q24" s="436" t="str">
        <f>IF(D24&lt;&gt;0,FPE_AT2*PMIX_ENERGIA_MWh,"")</f>
        <v/>
      </c>
      <c r="R24" s="435"/>
      <c r="S24" s="437"/>
      <c r="T24" s="587"/>
    </row>
    <row r="25" spans="2:20" x14ac:dyDescent="0.25">
      <c r="B25" s="302" t="s">
        <v>157</v>
      </c>
      <c r="C25" s="303" t="s">
        <v>168</v>
      </c>
      <c r="D25" s="303" t="s">
        <v>789</v>
      </c>
      <c r="E25" s="303" t="s">
        <v>789</v>
      </c>
      <c r="F25" s="303" t="s">
        <v>789</v>
      </c>
      <c r="G25" s="303" t="s">
        <v>789</v>
      </c>
      <c r="H25" s="303" t="s">
        <v>549</v>
      </c>
      <c r="I25" s="303" t="s">
        <v>502</v>
      </c>
      <c r="J25" s="438" t="str">
        <f>IF('FIO B'!$E$8&lt;&gt;0,TR_RB_A3_P,"")</f>
        <v/>
      </c>
      <c r="K25" s="438" t="str">
        <f>IF('FIO B'!$E$8&lt;&gt;0,TR_FR_A3_P,"")</f>
        <v/>
      </c>
      <c r="L25" s="438" t="str">
        <f>IF('FIO B'!$E$8&lt;&gt;0,TR_CCT_A3_P,"")</f>
        <v/>
      </c>
      <c r="M25" s="438" t="str">
        <f>IF('FIO B'!$E$8&lt;&gt;0,TR_CCD_A3_P,"")</f>
        <v/>
      </c>
      <c r="N25" s="438" t="str">
        <f>IF('FIO B'!$E$8&lt;&gt;0,TR_CUSD_A3_P,"")</f>
        <v/>
      </c>
      <c r="O25" s="438" t="str">
        <f>IF('FIO B'!$E$8&lt;&gt;0,TR_FIOB_A3_P,"")</f>
        <v/>
      </c>
      <c r="P25" s="430"/>
      <c r="Q25" s="430"/>
      <c r="R25" s="430"/>
      <c r="S25" s="431"/>
      <c r="T25" s="587"/>
    </row>
    <row r="26" spans="2:20" x14ac:dyDescent="0.25">
      <c r="B26" s="304" t="s">
        <v>157</v>
      </c>
      <c r="C26" s="2" t="s">
        <v>168</v>
      </c>
      <c r="D26" s="2" t="s">
        <v>789</v>
      </c>
      <c r="E26" s="2" t="s">
        <v>789</v>
      </c>
      <c r="F26" s="2" t="s">
        <v>789</v>
      </c>
      <c r="G26" s="2" t="s">
        <v>789</v>
      </c>
      <c r="H26" s="2" t="s">
        <v>555</v>
      </c>
      <c r="I26" s="2" t="s">
        <v>502</v>
      </c>
      <c r="J26" s="439" t="str">
        <f>IF('FIO B'!$E$8&lt;&gt;0,TR_RB_A3_FP,"")</f>
        <v/>
      </c>
      <c r="K26" s="439" t="str">
        <f>IF('FIO B'!$E$8&lt;&gt;0,TR_FR_A3_FP,"")</f>
        <v/>
      </c>
      <c r="L26" s="439" t="str">
        <f>IF('FIO B'!$E$8&lt;&gt;0,TR_CCT_A3_FP,"")</f>
        <v/>
      </c>
      <c r="M26" s="439" t="str">
        <f>IF('FIO B'!$E$8&lt;&gt;0,TR_CCD_A3_FP,"")</f>
        <v/>
      </c>
      <c r="N26" s="439" t="str">
        <f>IF('FIO B'!$E$8&lt;&gt;0,TR_CUSD_A3_FP,"")</f>
        <v/>
      </c>
      <c r="O26" s="439" t="str">
        <f>IF('FIO B'!$E$8&lt;&gt;0,TR_FIOB_A3_FP,"")</f>
        <v/>
      </c>
      <c r="P26" s="433"/>
      <c r="Q26" s="433"/>
      <c r="R26" s="433"/>
      <c r="S26" s="434"/>
      <c r="T26" s="587"/>
    </row>
    <row r="27" spans="2:20" ht="15.75" thickBot="1" x14ac:dyDescent="0.3">
      <c r="B27" s="305" t="s">
        <v>157</v>
      </c>
      <c r="C27" s="306" t="s">
        <v>168</v>
      </c>
      <c r="D27" s="306" t="s">
        <v>789</v>
      </c>
      <c r="E27" s="306" t="s">
        <v>789</v>
      </c>
      <c r="F27" s="306" t="s">
        <v>789</v>
      </c>
      <c r="G27" s="306" t="s">
        <v>789</v>
      </c>
      <c r="H27" s="306" t="s">
        <v>789</v>
      </c>
      <c r="I27" s="306" t="s">
        <v>689</v>
      </c>
      <c r="J27" s="435"/>
      <c r="K27" s="435"/>
      <c r="L27" s="435"/>
      <c r="M27" s="435"/>
      <c r="N27" s="435"/>
      <c r="O27" s="435"/>
      <c r="P27" s="436" t="str">
        <f>IF('FIO B'!$E$8&lt;&gt;0,FPE_AT3*PMIX_ENERGIA_MWh,"")</f>
        <v/>
      </c>
      <c r="Q27" s="436" t="str">
        <f>IF('FIO B'!$E$8&lt;&gt;0,FPE_AT3*PMIX_ENERGIA_MWh,"")</f>
        <v/>
      </c>
      <c r="R27" s="435"/>
      <c r="S27" s="437"/>
      <c r="T27" s="587"/>
    </row>
    <row r="28" spans="2:20" x14ac:dyDescent="0.25">
      <c r="B28" s="302" t="s">
        <v>157</v>
      </c>
      <c r="C28" s="303" t="s">
        <v>168</v>
      </c>
      <c r="D28" s="447"/>
      <c r="E28" s="303" t="s">
        <v>789</v>
      </c>
      <c r="F28" s="303" t="s">
        <v>789</v>
      </c>
      <c r="G28" s="2" t="s">
        <v>789</v>
      </c>
      <c r="H28" s="303" t="s">
        <v>549</v>
      </c>
      <c r="I28" s="303" t="s">
        <v>502</v>
      </c>
      <c r="J28" s="429"/>
      <c r="K28" s="429"/>
      <c r="L28" s="430"/>
      <c r="M28" s="430"/>
      <c r="N28" s="430"/>
      <c r="O28" s="430"/>
      <c r="P28" s="430"/>
      <c r="Q28" s="430"/>
      <c r="R28" s="430"/>
      <c r="S28" s="431"/>
      <c r="T28" s="587" t="s">
        <v>3581</v>
      </c>
    </row>
    <row r="29" spans="2:20" x14ac:dyDescent="0.25">
      <c r="B29" s="304" t="s">
        <v>157</v>
      </c>
      <c r="C29" s="2" t="s">
        <v>168</v>
      </c>
      <c r="D29" s="447"/>
      <c r="E29" s="2" t="s">
        <v>789</v>
      </c>
      <c r="F29" s="2" t="s">
        <v>789</v>
      </c>
      <c r="G29" s="2" t="s">
        <v>789</v>
      </c>
      <c r="H29" s="2" t="s">
        <v>555</v>
      </c>
      <c r="I29" s="2" t="s">
        <v>502</v>
      </c>
      <c r="J29" s="432"/>
      <c r="K29" s="432"/>
      <c r="L29" s="433"/>
      <c r="M29" s="433"/>
      <c r="N29" s="433"/>
      <c r="O29" s="433"/>
      <c r="P29" s="433"/>
      <c r="Q29" s="433"/>
      <c r="R29" s="433"/>
      <c r="S29" s="434"/>
      <c r="T29" s="587" t="s">
        <v>3581</v>
      </c>
    </row>
    <row r="30" spans="2:20" ht="15.75" thickBot="1" x14ac:dyDescent="0.3">
      <c r="B30" s="305" t="s">
        <v>157</v>
      </c>
      <c r="C30" s="306" t="s">
        <v>168</v>
      </c>
      <c r="D30" s="448"/>
      <c r="E30" s="306" t="s">
        <v>789</v>
      </c>
      <c r="F30" s="306" t="s">
        <v>789</v>
      </c>
      <c r="G30" s="306" t="s">
        <v>789</v>
      </c>
      <c r="H30" s="306" t="s">
        <v>789</v>
      </c>
      <c r="I30" s="306" t="s">
        <v>689</v>
      </c>
      <c r="J30" s="435"/>
      <c r="K30" s="435"/>
      <c r="L30" s="435"/>
      <c r="M30" s="435"/>
      <c r="N30" s="435"/>
      <c r="O30" s="435"/>
      <c r="P30" s="436" t="str">
        <f>IF(D30&lt;&gt;0,0,"")</f>
        <v/>
      </c>
      <c r="Q30" s="436" t="str">
        <f>IF(D30&lt;&gt;0,0,"")</f>
        <v/>
      </c>
      <c r="R30" s="435"/>
      <c r="S30" s="437"/>
      <c r="T30" s="587"/>
    </row>
    <row r="31" spans="2:20" x14ac:dyDescent="0.25">
      <c r="B31" s="302" t="s">
        <v>157</v>
      </c>
      <c r="C31" s="303" t="s">
        <v>797</v>
      </c>
      <c r="D31" s="447"/>
      <c r="E31" s="303" t="s">
        <v>789</v>
      </c>
      <c r="F31" s="303" t="s">
        <v>789</v>
      </c>
      <c r="G31" s="2" t="s">
        <v>685</v>
      </c>
      <c r="H31" s="303" t="s">
        <v>549</v>
      </c>
      <c r="I31" s="303" t="s">
        <v>502</v>
      </c>
      <c r="J31" s="429"/>
      <c r="K31" s="429"/>
      <c r="L31" s="430"/>
      <c r="M31" s="430"/>
      <c r="N31" s="430"/>
      <c r="O31" s="430"/>
      <c r="P31" s="430"/>
      <c r="Q31" s="430"/>
      <c r="R31" s="430"/>
      <c r="S31" s="431"/>
      <c r="T31" s="587" t="s">
        <v>800</v>
      </c>
    </row>
    <row r="32" spans="2:20" x14ac:dyDescent="0.25">
      <c r="B32" s="304" t="s">
        <v>157</v>
      </c>
      <c r="C32" s="2" t="s">
        <v>797</v>
      </c>
      <c r="D32" s="447"/>
      <c r="E32" s="2" t="s">
        <v>789</v>
      </c>
      <c r="F32" s="2" t="s">
        <v>789</v>
      </c>
      <c r="G32" s="2" t="s">
        <v>685</v>
      </c>
      <c r="H32" s="2" t="s">
        <v>555</v>
      </c>
      <c r="I32" s="2" t="s">
        <v>502</v>
      </c>
      <c r="J32" s="432"/>
      <c r="K32" s="432"/>
      <c r="L32" s="433"/>
      <c r="M32" s="433"/>
      <c r="N32" s="433"/>
      <c r="O32" s="433"/>
      <c r="P32" s="433"/>
      <c r="Q32" s="433"/>
      <c r="R32" s="433"/>
      <c r="S32" s="434"/>
      <c r="T32" s="587" t="s">
        <v>800</v>
      </c>
    </row>
    <row r="33" spans="2:20" ht="15.75" thickBot="1" x14ac:dyDescent="0.3">
      <c r="B33" s="305" t="s">
        <v>157</v>
      </c>
      <c r="C33" s="306" t="s">
        <v>797</v>
      </c>
      <c r="D33" s="448"/>
      <c r="E33" s="306" t="s">
        <v>789</v>
      </c>
      <c r="F33" s="306" t="s">
        <v>789</v>
      </c>
      <c r="G33" s="306" t="s">
        <v>685</v>
      </c>
      <c r="H33" s="306" t="s">
        <v>789</v>
      </c>
      <c r="I33" s="306" t="s">
        <v>689</v>
      </c>
      <c r="J33" s="435"/>
      <c r="K33" s="435"/>
      <c r="L33" s="435"/>
      <c r="M33" s="435"/>
      <c r="N33" s="435"/>
      <c r="O33" s="435"/>
      <c r="P33" s="436" t="str">
        <f>IF(D33&lt;&gt;0,FPE_AT3*PMIX_ENERGIA_MWh,"")</f>
        <v/>
      </c>
      <c r="Q33" s="436" t="str">
        <f>IF(D32&lt;&gt;0,FPE_AT3*PMIX_ENERGIA_MWh,"")</f>
        <v/>
      </c>
      <c r="R33" s="435"/>
      <c r="S33" s="437"/>
      <c r="T33" s="587"/>
    </row>
    <row r="34" spans="2:20" x14ac:dyDescent="0.25">
      <c r="B34" s="302" t="s">
        <v>157</v>
      </c>
      <c r="C34" s="303" t="s">
        <v>797</v>
      </c>
      <c r="D34" s="447"/>
      <c r="E34" s="303" t="s">
        <v>789</v>
      </c>
      <c r="F34" s="303" t="s">
        <v>789</v>
      </c>
      <c r="G34" s="303" t="s">
        <v>686</v>
      </c>
      <c r="H34" s="303" t="s">
        <v>549</v>
      </c>
      <c r="I34" s="303" t="s">
        <v>502</v>
      </c>
      <c r="J34" s="438" t="str">
        <f>IF(D34&lt;&gt;0,TR_RB_A3_P,"")</f>
        <v/>
      </c>
      <c r="K34" s="438" t="str">
        <f>IF(D34&lt;&gt;0,TR_FR_A3_P,"")</f>
        <v/>
      </c>
      <c r="L34" s="438" t="str">
        <f>IF(D34&lt;&gt;0,TR_CCT_A3_P,"")</f>
        <v/>
      </c>
      <c r="M34" s="438" t="str">
        <f>IF(D34&lt;&gt;0,TR_CCD_A3_P,"")</f>
        <v/>
      </c>
      <c r="N34" s="438" t="str">
        <f>IF(D34&lt;&gt;0,TR_CUSD_A3_P,"")</f>
        <v/>
      </c>
      <c r="O34" s="438" t="str">
        <f>IF(D34&lt;&gt;0,TR_FIOB_A3_P,"")</f>
        <v/>
      </c>
      <c r="P34" s="430"/>
      <c r="Q34" s="430"/>
      <c r="R34" s="430"/>
      <c r="S34" s="431"/>
      <c r="T34" s="587"/>
    </row>
    <row r="35" spans="2:20" x14ac:dyDescent="0.25">
      <c r="B35" s="304" t="s">
        <v>157</v>
      </c>
      <c r="C35" s="2" t="s">
        <v>797</v>
      </c>
      <c r="D35" s="447"/>
      <c r="E35" s="2" t="s">
        <v>789</v>
      </c>
      <c r="F35" s="2" t="s">
        <v>789</v>
      </c>
      <c r="G35" s="2" t="s">
        <v>686</v>
      </c>
      <c r="H35" s="2" t="s">
        <v>555</v>
      </c>
      <c r="I35" s="2" t="s">
        <v>502</v>
      </c>
      <c r="J35" s="439" t="str">
        <f>IF(D35&lt;&gt;0,TR_RB_A3_FP,"")</f>
        <v/>
      </c>
      <c r="K35" s="439" t="str">
        <f>IF(D35&lt;&gt;0,TR_FR_A3_FP,"")</f>
        <v/>
      </c>
      <c r="L35" s="439" t="str">
        <f>IF(D35&lt;&gt;0,TR_CCT_A3_FP,"")</f>
        <v/>
      </c>
      <c r="M35" s="439" t="str">
        <f>IF(D35&lt;&gt;0,TR_CCD_A3_FP,"")</f>
        <v/>
      </c>
      <c r="N35" s="439" t="str">
        <f>IF(D35&lt;&gt;0,TR_CUSD_A3_FP,"")</f>
        <v/>
      </c>
      <c r="O35" s="439" t="str">
        <f>IF(D35&lt;&gt;0,TR_FIOB_A3_FP,"")</f>
        <v/>
      </c>
      <c r="P35" s="433"/>
      <c r="Q35" s="433"/>
      <c r="R35" s="433"/>
      <c r="S35" s="434"/>
      <c r="T35" s="587"/>
    </row>
    <row r="36" spans="2:20" ht="15.75" thickBot="1" x14ac:dyDescent="0.3">
      <c r="B36" s="305" t="s">
        <v>157</v>
      </c>
      <c r="C36" s="306" t="s">
        <v>797</v>
      </c>
      <c r="D36" s="448"/>
      <c r="E36" s="306" t="s">
        <v>789</v>
      </c>
      <c r="F36" s="306" t="s">
        <v>789</v>
      </c>
      <c r="G36" s="306" t="s">
        <v>686</v>
      </c>
      <c r="H36" s="306" t="s">
        <v>789</v>
      </c>
      <c r="I36" s="306" t="s">
        <v>689</v>
      </c>
      <c r="J36" s="435"/>
      <c r="K36" s="435"/>
      <c r="L36" s="435"/>
      <c r="M36" s="435"/>
      <c r="N36" s="435"/>
      <c r="O36" s="435"/>
      <c r="P36" s="436" t="str">
        <f>IF(D36&lt;&gt;0,FPE_AT3*PMIX_ENERGIA_MWh,"")</f>
        <v/>
      </c>
      <c r="Q36" s="436" t="str">
        <f>IF(D36&lt;&gt;0,FPE_AT3*PMIX_ENERGIA_MWh,"")</f>
        <v/>
      </c>
      <c r="R36" s="435"/>
      <c r="S36" s="437"/>
      <c r="T36" s="587"/>
    </row>
    <row r="37" spans="2:20" x14ac:dyDescent="0.25">
      <c r="B37" s="302" t="s">
        <v>157</v>
      </c>
      <c r="C37" s="303" t="s">
        <v>797</v>
      </c>
      <c r="D37" s="447"/>
      <c r="E37" s="303" t="s">
        <v>789</v>
      </c>
      <c r="F37" s="303" t="s">
        <v>789</v>
      </c>
      <c r="G37" s="303" t="s">
        <v>506</v>
      </c>
      <c r="H37" s="303" t="s">
        <v>549</v>
      </c>
      <c r="I37" s="303" t="s">
        <v>502</v>
      </c>
      <c r="J37" s="439" t="str">
        <f>IF(D37&lt;&gt;0,TR_RB_A3_P,"")</f>
        <v/>
      </c>
      <c r="K37" s="438" t="str">
        <f>IF(D37&lt;&gt;0,TR_FR_A3_P,"")</f>
        <v/>
      </c>
      <c r="L37" s="438" t="str">
        <f>IF(D37&lt;&gt;0,TR_CCT_A3_P,"")</f>
        <v/>
      </c>
      <c r="M37" s="438" t="str">
        <f>IF(D37&lt;&gt;0,TR_CCD_A3_P,"")</f>
        <v/>
      </c>
      <c r="N37" s="438" t="str">
        <f>IF(D37&lt;&gt;0,TR_CUSD_A3_P,"")</f>
        <v/>
      </c>
      <c r="O37" s="438" t="str">
        <f>IF(D37&lt;&gt;0,'FIO B'!$K$37,"")</f>
        <v/>
      </c>
      <c r="P37" s="430"/>
      <c r="Q37" s="430"/>
      <c r="R37" s="430"/>
      <c r="S37" s="431"/>
      <c r="T37" s="587"/>
    </row>
    <row r="38" spans="2:20" x14ac:dyDescent="0.25">
      <c r="B38" s="304" t="s">
        <v>157</v>
      </c>
      <c r="C38" s="2" t="s">
        <v>797</v>
      </c>
      <c r="D38" s="447"/>
      <c r="E38" s="2" t="s">
        <v>789</v>
      </c>
      <c r="F38" s="2" t="s">
        <v>789</v>
      </c>
      <c r="G38" s="2" t="s">
        <v>506</v>
      </c>
      <c r="H38" s="2" t="s">
        <v>555</v>
      </c>
      <c r="I38" s="2" t="s">
        <v>502</v>
      </c>
      <c r="J38" s="439" t="str">
        <f>IF(D38&lt;&gt;0,TR_RB_A3_FP,"")</f>
        <v/>
      </c>
      <c r="K38" s="439" t="str">
        <f>IF(D38&lt;&gt;0,TR_FR_A3_FP,"")</f>
        <v/>
      </c>
      <c r="L38" s="439" t="str">
        <f>IF(D38&lt;&gt;0,TR_CCT_A3_FP,"")</f>
        <v/>
      </c>
      <c r="M38" s="439" t="str">
        <f>IF(D38&lt;&gt;0,TR_CCD_A3_FP,"")</f>
        <v/>
      </c>
      <c r="N38" s="439" t="str">
        <f>IF(D38&lt;&gt;0,TR_CUSD_A3_FP,"")</f>
        <v/>
      </c>
      <c r="O38" s="439" t="str">
        <f>IF(D38&lt;&gt;0,'FIO B'!$L$37,"")</f>
        <v/>
      </c>
      <c r="P38" s="433"/>
      <c r="Q38" s="433"/>
      <c r="R38" s="433"/>
      <c r="S38" s="434"/>
      <c r="T38" s="587"/>
    </row>
    <row r="39" spans="2:20" ht="15.75" thickBot="1" x14ac:dyDescent="0.3">
      <c r="B39" s="305" t="s">
        <v>157</v>
      </c>
      <c r="C39" s="306" t="s">
        <v>797</v>
      </c>
      <c r="D39" s="447"/>
      <c r="E39" s="306" t="s">
        <v>789</v>
      </c>
      <c r="F39" s="306" t="s">
        <v>789</v>
      </c>
      <c r="G39" s="306" t="s">
        <v>506</v>
      </c>
      <c r="H39" s="306" t="s">
        <v>789</v>
      </c>
      <c r="I39" s="306" t="s">
        <v>689</v>
      </c>
      <c r="J39" s="435"/>
      <c r="K39" s="435"/>
      <c r="L39" s="435"/>
      <c r="M39" s="435"/>
      <c r="N39" s="435"/>
      <c r="O39" s="435"/>
      <c r="P39" s="436" t="str">
        <f>IF(D39&lt;&gt;0,FPE_AT3*PMIX_ENERGIA_MWh,"")</f>
        <v/>
      </c>
      <c r="Q39" s="436" t="str">
        <f>IF(D39&lt;&gt;0,FPE_AT3*PMIX_ENERGIA_MWh,"")</f>
        <v/>
      </c>
      <c r="R39" s="435"/>
      <c r="S39" s="437"/>
      <c r="T39" s="587"/>
    </row>
    <row r="40" spans="2:20" x14ac:dyDescent="0.25">
      <c r="B40" s="302" t="s">
        <v>159</v>
      </c>
      <c r="C40" s="303" t="s">
        <v>168</v>
      </c>
      <c r="D40" s="303" t="s">
        <v>789</v>
      </c>
      <c r="E40" s="303" t="s">
        <v>789</v>
      </c>
      <c r="F40" s="303" t="s">
        <v>789</v>
      </c>
      <c r="G40" s="303" t="s">
        <v>789</v>
      </c>
      <c r="H40" s="303" t="s">
        <v>549</v>
      </c>
      <c r="I40" s="303" t="s">
        <v>502</v>
      </c>
      <c r="J40" s="438">
        <f>TR_RB_MT_P</f>
        <v>9.6536380684834793</v>
      </c>
      <c r="K40" s="438">
        <f>TR_FR_MT_P</f>
        <v>7.6998326951142584</v>
      </c>
      <c r="L40" s="438">
        <f>TR_CCT_MT_P</f>
        <v>2.2940512674423017</v>
      </c>
      <c r="M40" s="438">
        <f>TR_CCD_MT_P</f>
        <v>0</v>
      </c>
      <c r="N40" s="438">
        <f>TR_CUSD_MT_P</f>
        <v>0</v>
      </c>
      <c r="O40" s="438">
        <f>TR_FIOB_MT_P</f>
        <v>31.747969443553274</v>
      </c>
      <c r="P40" s="430"/>
      <c r="Q40" s="430"/>
      <c r="R40" s="430"/>
      <c r="S40" s="431"/>
      <c r="T40" s="587"/>
    </row>
    <row r="41" spans="2:20" x14ac:dyDescent="0.25">
      <c r="B41" s="304" t="s">
        <v>159</v>
      </c>
      <c r="C41" s="2" t="s">
        <v>168</v>
      </c>
      <c r="D41" s="2" t="s">
        <v>789</v>
      </c>
      <c r="E41" s="2" t="s">
        <v>789</v>
      </c>
      <c r="F41" s="2" t="s">
        <v>789</v>
      </c>
      <c r="G41" s="2" t="s">
        <v>789</v>
      </c>
      <c r="H41" s="2" t="s">
        <v>555</v>
      </c>
      <c r="I41" s="2" t="s">
        <v>502</v>
      </c>
      <c r="J41" s="439">
        <f>TR_RB_MT_FP</f>
        <v>9.234055206491302</v>
      </c>
      <c r="K41" s="439">
        <f>TR_FR_MT_FP</f>
        <v>7.0922020503224088</v>
      </c>
      <c r="L41" s="439">
        <f>TR_CCT_MT_FP</f>
        <v>1.7542903742622362</v>
      </c>
      <c r="M41" s="439">
        <f>TR_CCD_MT_FP</f>
        <v>0</v>
      </c>
      <c r="N41" s="439">
        <f>TR_CUSD_MT_FP</f>
        <v>0</v>
      </c>
      <c r="O41" s="439">
        <f>TR_FIOB_MT_FP</f>
        <v>5.291328240592212</v>
      </c>
      <c r="P41" s="433"/>
      <c r="Q41" s="433"/>
      <c r="R41" s="433"/>
      <c r="S41" s="434"/>
      <c r="T41" s="587"/>
    </row>
    <row r="42" spans="2:20" ht="15.75" thickBot="1" x14ac:dyDescent="0.3">
      <c r="B42" s="305" t="s">
        <v>159</v>
      </c>
      <c r="C42" s="306" t="s">
        <v>168</v>
      </c>
      <c r="D42" s="306" t="s">
        <v>789</v>
      </c>
      <c r="E42" s="306" t="s">
        <v>789</v>
      </c>
      <c r="F42" s="306" t="s">
        <v>789</v>
      </c>
      <c r="G42" s="306" t="s">
        <v>789</v>
      </c>
      <c r="H42" s="306" t="s">
        <v>789</v>
      </c>
      <c r="I42" s="306" t="s">
        <v>689</v>
      </c>
      <c r="J42" s="435"/>
      <c r="K42" s="435"/>
      <c r="L42" s="435"/>
      <c r="M42" s="435"/>
      <c r="N42" s="435"/>
      <c r="O42" s="435"/>
      <c r="P42" s="436">
        <f>FPE_MT*PMIX_ENERGIA_MWh</f>
        <v>3.9643227022858358</v>
      </c>
      <c r="Q42" s="436">
        <f>FPE_MT*PMIX_ENERGIA_MWh</f>
        <v>3.9643227022858358</v>
      </c>
      <c r="R42" s="435"/>
      <c r="S42" s="437"/>
      <c r="T42" s="587"/>
    </row>
    <row r="43" spans="2:20" x14ac:dyDescent="0.25">
      <c r="B43" s="302" t="s">
        <v>159</v>
      </c>
      <c r="C43" s="303" t="s">
        <v>174</v>
      </c>
      <c r="D43" s="303" t="s">
        <v>789</v>
      </c>
      <c r="E43" s="303" t="s">
        <v>789</v>
      </c>
      <c r="F43" s="303" t="s">
        <v>789</v>
      </c>
      <c r="G43" s="303" t="s">
        <v>789</v>
      </c>
      <c r="H43" s="303" t="s">
        <v>549</v>
      </c>
      <c r="I43" s="303" t="s">
        <v>689</v>
      </c>
      <c r="J43" s="438">
        <f>TR_RB_MT_P*12000/756/FC_THSV</f>
        <v>232.17022771725536</v>
      </c>
      <c r="K43" s="438">
        <f>TR_FR_MT_P*12000/756/FC_THSV</f>
        <v>185.18116149865941</v>
      </c>
      <c r="L43" s="438">
        <f>TR_CCT_MT_P*12000/756/FC_THSV</f>
        <v>55.171988153975505</v>
      </c>
      <c r="M43" s="438">
        <f>TR_CCD_MT_P*12000/756/FC_THSV</f>
        <v>0</v>
      </c>
      <c r="N43" s="438">
        <f>TR_CUSD_MT_P*12000/756/FC_THSV</f>
        <v>0</v>
      </c>
      <c r="O43" s="438">
        <f>TR_FIOB_MT_P*12000/756/FC_THSV</f>
        <v>763.53942865688487</v>
      </c>
      <c r="P43" s="430"/>
      <c r="Q43" s="430"/>
      <c r="R43" s="430"/>
      <c r="S43" s="431"/>
      <c r="T43" s="587"/>
    </row>
    <row r="44" spans="2:20" x14ac:dyDescent="0.25">
      <c r="B44" s="304" t="s">
        <v>159</v>
      </c>
      <c r="C44" s="2" t="s">
        <v>174</v>
      </c>
      <c r="D44" s="2" t="s">
        <v>789</v>
      </c>
      <c r="E44" s="2" t="s">
        <v>789</v>
      </c>
      <c r="F44" s="2" t="s">
        <v>789</v>
      </c>
      <c r="G44" s="2" t="s">
        <v>789</v>
      </c>
      <c r="H44" s="2" t="s">
        <v>789</v>
      </c>
      <c r="I44" s="2" t="s">
        <v>689</v>
      </c>
      <c r="J44" s="433"/>
      <c r="K44" s="433"/>
      <c r="L44" s="433"/>
      <c r="M44" s="433"/>
      <c r="N44" s="433"/>
      <c r="O44" s="433"/>
      <c r="P44" s="439">
        <f>FPE_MT*PMIX_ENERGIA_MWh</f>
        <v>3.9643227022858358</v>
      </c>
      <c r="Q44" s="439">
        <f>FPE_MT*PMIX_ENERGIA_MWh</f>
        <v>3.9643227022858358</v>
      </c>
      <c r="R44" s="433"/>
      <c r="S44" s="434"/>
      <c r="T44" s="587"/>
    </row>
    <row r="45" spans="2:20" ht="15.75" thickBot="1" x14ac:dyDescent="0.3">
      <c r="B45" s="305" t="s">
        <v>159</v>
      </c>
      <c r="C45" s="306" t="s">
        <v>174</v>
      </c>
      <c r="D45" s="306" t="s">
        <v>789</v>
      </c>
      <c r="E45" s="306" t="s">
        <v>789</v>
      </c>
      <c r="F45" s="306" t="s">
        <v>789</v>
      </c>
      <c r="G45" s="306" t="s">
        <v>789</v>
      </c>
      <c r="H45" s="306" t="s">
        <v>789</v>
      </c>
      <c r="I45" s="306" t="s">
        <v>502</v>
      </c>
      <c r="J45" s="436">
        <f>TR_RB_MT_FP</f>
        <v>9.234055206491302</v>
      </c>
      <c r="K45" s="436">
        <f>TR_FR_MT_FP</f>
        <v>7.0922020503224088</v>
      </c>
      <c r="L45" s="436">
        <f>TR_CCT_MT_FP</f>
        <v>1.7542903742622362</v>
      </c>
      <c r="M45" s="436">
        <f>TR_CCD_MT_FP</f>
        <v>0</v>
      </c>
      <c r="N45" s="436">
        <f>TR_CUSD_MT_FP</f>
        <v>0</v>
      </c>
      <c r="O45" s="436">
        <f>TR_FIOB_MT_FP</f>
        <v>5.291328240592212</v>
      </c>
      <c r="P45" s="435"/>
      <c r="Q45" s="435"/>
      <c r="R45" s="435"/>
      <c r="S45" s="437"/>
      <c r="T45" s="587"/>
    </row>
    <row r="46" spans="2:20" x14ac:dyDescent="0.25">
      <c r="B46" s="304" t="s">
        <v>159</v>
      </c>
      <c r="C46" s="2" t="s">
        <v>177</v>
      </c>
      <c r="D46" s="2" t="s">
        <v>789</v>
      </c>
      <c r="E46" s="2" t="s">
        <v>789</v>
      </c>
      <c r="F46" s="2" t="s">
        <v>789</v>
      </c>
      <c r="G46" s="2" t="s">
        <v>789</v>
      </c>
      <c r="H46" s="2" t="s">
        <v>789</v>
      </c>
      <c r="I46" s="2" t="s">
        <v>502</v>
      </c>
      <c r="J46" s="439">
        <f>TR_RB_MT_P*0.72+TR_RB_MT_FP</f>
        <v>16.184674615799405</v>
      </c>
      <c r="K46" s="439">
        <f>TR_FR_MT_P*0.72+TR_FR_MT_FP</f>
        <v>12.636081590804675</v>
      </c>
      <c r="L46" s="439">
        <f>TR_CCT_MT_P*0.72+TR_CCT_MT_FP</f>
        <v>3.4060072868206932</v>
      </c>
      <c r="M46" s="439">
        <f>TR_CCD_MT_P*0.72+TR_CCD_MT_FP</f>
        <v>0</v>
      </c>
      <c r="N46" s="439">
        <f>TR_CUSD_MT_P*0.72+TR_CUSD_MT_FP</f>
        <v>0</v>
      </c>
      <c r="O46" s="439">
        <f>TR_FIOB_MT_P*0.72+TR_FIOB_MT_FP</f>
        <v>28.149866239950565</v>
      </c>
      <c r="P46" s="433"/>
      <c r="Q46" s="433"/>
      <c r="R46" s="433"/>
      <c r="S46" s="434"/>
      <c r="T46" s="587"/>
    </row>
    <row r="47" spans="2:20" ht="15.75" thickBot="1" x14ac:dyDescent="0.3">
      <c r="B47" s="304" t="s">
        <v>159</v>
      </c>
      <c r="C47" s="2" t="s">
        <v>177</v>
      </c>
      <c r="D47" s="2" t="s">
        <v>789</v>
      </c>
      <c r="E47" s="2" t="s">
        <v>789</v>
      </c>
      <c r="F47" s="2" t="s">
        <v>789</v>
      </c>
      <c r="G47" s="2" t="s">
        <v>789</v>
      </c>
      <c r="H47" s="2" t="s">
        <v>789</v>
      </c>
      <c r="I47" s="2" t="s">
        <v>689</v>
      </c>
      <c r="J47" s="433"/>
      <c r="K47" s="433"/>
      <c r="L47" s="433"/>
      <c r="M47" s="433"/>
      <c r="N47" s="433"/>
      <c r="O47" s="433"/>
      <c r="P47" s="436">
        <f>FPE_MT*PMIX_ENERGIA_MWh</f>
        <v>3.9643227022858358</v>
      </c>
      <c r="Q47" s="436">
        <f>FPE_MT*PMIX_ENERGIA_MWh</f>
        <v>3.9643227022858358</v>
      </c>
      <c r="R47" s="433"/>
      <c r="S47" s="434"/>
      <c r="T47" s="587"/>
    </row>
    <row r="48" spans="2:20" x14ac:dyDescent="0.25">
      <c r="B48" s="302" t="s">
        <v>159</v>
      </c>
      <c r="C48" s="303" t="s">
        <v>797</v>
      </c>
      <c r="D48" s="446"/>
      <c r="E48" s="303" t="s">
        <v>789</v>
      </c>
      <c r="F48" s="303" t="s">
        <v>789</v>
      </c>
      <c r="G48" s="303" t="s">
        <v>505</v>
      </c>
      <c r="H48" s="303" t="s">
        <v>549</v>
      </c>
      <c r="I48" s="303" t="s">
        <v>502</v>
      </c>
      <c r="J48" s="438" t="str">
        <f>IF(D48&lt;&gt;0,TR_RB_MT_P,"")</f>
        <v/>
      </c>
      <c r="K48" s="438" t="str">
        <f>IF(D48&lt;&gt;0,TR_FR_MT_P,"")</f>
        <v/>
      </c>
      <c r="L48" s="438" t="str">
        <f>IF(D48&lt;&gt;0,TR_CCT_MT_P,"")</f>
        <v/>
      </c>
      <c r="M48" s="438" t="str">
        <f>IF(D48&lt;&gt;0,TR_CCD_MT_P,"")</f>
        <v/>
      </c>
      <c r="N48" s="438" t="str">
        <f>IF(D48&lt;&gt;0,TR_CUSD_MT_P,"")</f>
        <v/>
      </c>
      <c r="O48" s="438" t="str">
        <f>IF(D48&lt;&gt;0,'FIO B'!$K$38,"")</f>
        <v/>
      </c>
      <c r="P48" s="430"/>
      <c r="Q48" s="430"/>
      <c r="R48" s="430"/>
      <c r="S48" s="431"/>
      <c r="T48" s="587"/>
    </row>
    <row r="49" spans="2:20" x14ac:dyDescent="0.25">
      <c r="B49" s="304" t="s">
        <v>159</v>
      </c>
      <c r="C49" s="2" t="s">
        <v>797</v>
      </c>
      <c r="D49" s="447"/>
      <c r="E49" s="2" t="s">
        <v>789</v>
      </c>
      <c r="F49" s="2" t="s">
        <v>789</v>
      </c>
      <c r="G49" s="2" t="s">
        <v>505</v>
      </c>
      <c r="H49" s="2" t="s">
        <v>555</v>
      </c>
      <c r="I49" s="2" t="s">
        <v>502</v>
      </c>
      <c r="J49" s="439" t="str">
        <f>IF(D49&lt;&gt;0,TR_RB_MT_FP,"")</f>
        <v/>
      </c>
      <c r="K49" s="439" t="str">
        <f>IF(D49&lt;&gt;0,TR_FR_MT_FP,"")</f>
        <v/>
      </c>
      <c r="L49" s="439" t="str">
        <f>IF(D49&lt;&gt;0,TR_CCT_MT_FP,"")</f>
        <v/>
      </c>
      <c r="M49" s="439" t="str">
        <f>IF(D49&lt;&gt;0,TR_CCD_MT_FP,"")</f>
        <v/>
      </c>
      <c r="N49" s="439" t="str">
        <f>IF(D49&lt;&gt;0,TR_CUSD_MT_FP,"")</f>
        <v/>
      </c>
      <c r="O49" s="439" t="str">
        <f>IF(D49&lt;&gt;0,'FIO B'!$L$38,"")</f>
        <v/>
      </c>
      <c r="P49" s="433"/>
      <c r="Q49" s="433"/>
      <c r="R49" s="433"/>
      <c r="S49" s="434"/>
      <c r="T49" s="587"/>
    </row>
    <row r="50" spans="2:20" ht="15.75" thickBot="1" x14ac:dyDescent="0.3">
      <c r="B50" s="305" t="s">
        <v>159</v>
      </c>
      <c r="C50" s="306" t="s">
        <v>797</v>
      </c>
      <c r="D50" s="448"/>
      <c r="E50" s="306" t="s">
        <v>789</v>
      </c>
      <c r="F50" s="306" t="s">
        <v>789</v>
      </c>
      <c r="G50" s="306" t="s">
        <v>505</v>
      </c>
      <c r="H50" s="306" t="s">
        <v>789</v>
      </c>
      <c r="I50" s="306" t="s">
        <v>689</v>
      </c>
      <c r="J50" s="435"/>
      <c r="K50" s="435"/>
      <c r="L50" s="435"/>
      <c r="M50" s="435"/>
      <c r="N50" s="435"/>
      <c r="O50" s="435"/>
      <c r="P50" s="436" t="str">
        <f>IF(D50&lt;&gt;0,FPE_MT*PMIX_ENERGIA_MWh,"")</f>
        <v/>
      </c>
      <c r="Q50" s="436" t="str">
        <f>IF(D50&lt;&gt;0,FPE_MT*PMIX_ENERGIA_MWh,"")</f>
        <v/>
      </c>
      <c r="R50" s="435"/>
      <c r="S50" s="437"/>
      <c r="T50" s="587"/>
    </row>
    <row r="51" spans="2:20" ht="15.75" thickBot="1" x14ac:dyDescent="0.3">
      <c r="B51" s="308" t="s">
        <v>159</v>
      </c>
      <c r="C51" s="307" t="s">
        <v>3126</v>
      </c>
      <c r="D51" s="307" t="s">
        <v>789</v>
      </c>
      <c r="E51" s="307" t="s">
        <v>789</v>
      </c>
      <c r="F51" s="307" t="s">
        <v>789</v>
      </c>
      <c r="G51" s="307" t="s">
        <v>789</v>
      </c>
      <c r="H51" s="307" t="s">
        <v>789</v>
      </c>
      <c r="I51" s="307" t="s">
        <v>502</v>
      </c>
      <c r="J51" s="440"/>
      <c r="K51" s="440"/>
      <c r="L51" s="440"/>
      <c r="M51" s="440"/>
      <c r="N51" s="440"/>
      <c r="O51" s="441">
        <f>'FIO B'!$K$43</f>
        <v>5.2388629731876266</v>
      </c>
      <c r="P51" s="441">
        <f>'FIO B'!$L$43</f>
        <v>2.6946250003555259E-3</v>
      </c>
      <c r="Q51" s="440"/>
      <c r="R51" s="441">
        <f>'FIO B'!$M$43</f>
        <v>2.0955451892750505E-2</v>
      </c>
      <c r="S51" s="442">
        <f>'FIO B'!$N$43</f>
        <v>5.2625130500807325E-2</v>
      </c>
      <c r="T51" s="587"/>
    </row>
    <row r="52" spans="2:20" x14ac:dyDescent="0.25">
      <c r="B52" s="302" t="s">
        <v>19</v>
      </c>
      <c r="C52" s="303" t="s">
        <v>168</v>
      </c>
      <c r="D52" s="303" t="s">
        <v>789</v>
      </c>
      <c r="E52" s="303" t="s">
        <v>789</v>
      </c>
      <c r="F52" s="303" t="s">
        <v>789</v>
      </c>
      <c r="G52" s="303" t="s">
        <v>789</v>
      </c>
      <c r="H52" s="303" t="s">
        <v>549</v>
      </c>
      <c r="I52" s="303" t="s">
        <v>502</v>
      </c>
      <c r="J52" s="438" t="str">
        <f>IF('FIO B'!$E$10&lt;&gt;0,TR_RB_BT_P,"")</f>
        <v/>
      </c>
      <c r="K52" s="438" t="str">
        <f>IF('FIO B'!$E$10&lt;&gt;0,TR_FR_BT_P,"")</f>
        <v/>
      </c>
      <c r="L52" s="438" t="str">
        <f>IF('FIO B'!$E$10&lt;&gt;0,TR_CCT_BT_P,"")</f>
        <v/>
      </c>
      <c r="M52" s="438" t="str">
        <f>IF('FIO B'!$E$10&lt;&gt;0,TR_CCD_BT_P,"")</f>
        <v/>
      </c>
      <c r="N52" s="438" t="str">
        <f>IF('FIO B'!$E$10&lt;&gt;0,TR_CUSD_BT_P,"")</f>
        <v/>
      </c>
      <c r="O52" s="438" t="str">
        <f>IF('FIO B'!$E$10&lt;&gt;0,TR_FIOB_BT_P,"")</f>
        <v/>
      </c>
      <c r="P52" s="430"/>
      <c r="Q52" s="430"/>
      <c r="R52" s="430"/>
      <c r="S52" s="431"/>
      <c r="T52" s="587"/>
    </row>
    <row r="53" spans="2:20" x14ac:dyDescent="0.25">
      <c r="B53" s="304" t="s">
        <v>19</v>
      </c>
      <c r="C53" s="2" t="s">
        <v>168</v>
      </c>
      <c r="D53" s="2" t="s">
        <v>789</v>
      </c>
      <c r="E53" s="2" t="s">
        <v>789</v>
      </c>
      <c r="F53" s="2" t="s">
        <v>789</v>
      </c>
      <c r="G53" s="2" t="s">
        <v>789</v>
      </c>
      <c r="H53" s="2" t="s">
        <v>555</v>
      </c>
      <c r="I53" s="2" t="s">
        <v>502</v>
      </c>
      <c r="J53" s="439" t="str">
        <f>IF('FIO B'!$E$10&lt;&gt;0,TR_RB_BT_FP,"")</f>
        <v/>
      </c>
      <c r="K53" s="439" t="str">
        <f>IF('FIO B'!$E$10&lt;&gt;0,TR_FR_BT_FP,"")</f>
        <v/>
      </c>
      <c r="L53" s="439" t="str">
        <f>IF('FIO B'!$E$10&lt;&gt;0,TR_CCT_BT_FP,"")</f>
        <v/>
      </c>
      <c r="M53" s="439" t="str">
        <f>IF('FIO B'!$E$10&lt;&gt;0,TR_CCD_BT_FP,"")</f>
        <v/>
      </c>
      <c r="N53" s="439" t="str">
        <f>IF('FIO B'!$E$10&lt;&gt;0,TR_CUSD_BT_FP,"")</f>
        <v/>
      </c>
      <c r="O53" s="439" t="str">
        <f>IF('FIO B'!$E$10&lt;&gt;0,TR_FIOB_BT_FP,"")</f>
        <v/>
      </c>
      <c r="P53" s="433"/>
      <c r="Q53" s="433"/>
      <c r="R53" s="433"/>
      <c r="S53" s="434"/>
      <c r="T53" s="587"/>
    </row>
    <row r="54" spans="2:20" ht="15.75" thickBot="1" x14ac:dyDescent="0.3">
      <c r="B54" s="305" t="s">
        <v>19</v>
      </c>
      <c r="C54" s="306" t="s">
        <v>168</v>
      </c>
      <c r="D54" s="306" t="s">
        <v>789</v>
      </c>
      <c r="E54" s="306" t="s">
        <v>789</v>
      </c>
      <c r="F54" s="306" t="s">
        <v>789</v>
      </c>
      <c r="G54" s="306" t="s">
        <v>789</v>
      </c>
      <c r="H54" s="306" t="s">
        <v>789</v>
      </c>
      <c r="I54" s="306" t="s">
        <v>689</v>
      </c>
      <c r="J54" s="435"/>
      <c r="K54" s="435"/>
      <c r="L54" s="435"/>
      <c r="M54" s="435"/>
      <c r="N54" s="435"/>
      <c r="O54" s="435"/>
      <c r="P54" s="436" t="str">
        <f>IF('FIO B'!$E$10&lt;&gt;0,FPE_BT*PMIX_ENERGIA_MWh,"")</f>
        <v/>
      </c>
      <c r="Q54" s="436" t="str">
        <f>IF('FIO B'!$E$10&lt;&gt;0,FPE_BT*PMIX_ENERGIA_MWh,"")</f>
        <v/>
      </c>
      <c r="R54" s="435"/>
      <c r="S54" s="437"/>
      <c r="T54" s="587"/>
    </row>
    <row r="55" spans="2:20" x14ac:dyDescent="0.25">
      <c r="B55" s="302" t="s">
        <v>19</v>
      </c>
      <c r="C55" s="303" t="s">
        <v>174</v>
      </c>
      <c r="D55" s="303" t="s">
        <v>789</v>
      </c>
      <c r="E55" s="303" t="s">
        <v>789</v>
      </c>
      <c r="F55" s="303" t="s">
        <v>789</v>
      </c>
      <c r="G55" s="303" t="s">
        <v>789</v>
      </c>
      <c r="H55" s="303" t="s">
        <v>549</v>
      </c>
      <c r="I55" s="303" t="s">
        <v>689</v>
      </c>
      <c r="J55" s="438" t="str">
        <f>IF('FIO B'!$E$10&lt;&gt;0,TR_RB_BT_P*12000/756/FC_THSV,"")</f>
        <v/>
      </c>
      <c r="K55" s="438" t="str">
        <f>IF('FIO B'!$E$10&lt;&gt;0,TR_FR_BT_P*12000/756/FC_THSV,"")</f>
        <v/>
      </c>
      <c r="L55" s="438" t="str">
        <f>IF('FIO B'!$E$10&lt;&gt;0,TR_CCT_BT_P*12000/756/FC_THSV,"")</f>
        <v/>
      </c>
      <c r="M55" s="438" t="str">
        <f>IF('FIO B'!$E$10&lt;&gt;0,TR_CCD_BT_P*12000/756/FC_THSV,"")</f>
        <v/>
      </c>
      <c r="N55" s="438" t="str">
        <f>IF('FIO B'!$E$10&lt;&gt;0,TR_CUSD_BT_P*12000/756/FC_THSV,"")</f>
        <v/>
      </c>
      <c r="O55" s="438" t="str">
        <f>IF('FIO B'!$E$10&lt;&gt;0,TR_FIOB_BT_P*12000/756/FC_THSV,"")</f>
        <v/>
      </c>
      <c r="P55" s="430"/>
      <c r="Q55" s="430"/>
      <c r="R55" s="430"/>
      <c r="S55" s="431"/>
      <c r="T55" s="587"/>
    </row>
    <row r="56" spans="2:20" x14ac:dyDescent="0.25">
      <c r="B56" s="304" t="s">
        <v>19</v>
      </c>
      <c r="C56" s="2" t="s">
        <v>174</v>
      </c>
      <c r="D56" s="2" t="s">
        <v>789</v>
      </c>
      <c r="E56" s="2" t="s">
        <v>789</v>
      </c>
      <c r="F56" s="2" t="s">
        <v>789</v>
      </c>
      <c r="G56" s="2" t="s">
        <v>789</v>
      </c>
      <c r="H56" s="2" t="s">
        <v>789</v>
      </c>
      <c r="I56" s="2" t="s">
        <v>689</v>
      </c>
      <c r="J56" s="433"/>
      <c r="K56" s="433"/>
      <c r="L56" s="433"/>
      <c r="M56" s="433"/>
      <c r="N56" s="433"/>
      <c r="O56" s="433"/>
      <c r="P56" s="439" t="str">
        <f>IF('FIO B'!$E$10&lt;&gt;0,FPE_BT*PMIX_ENERGIA_MWh,"")</f>
        <v/>
      </c>
      <c r="Q56" s="439" t="str">
        <f>IF('FIO B'!$E$10&lt;&gt;0,FPE_BT*PMIX_ENERGIA_MWh,"")</f>
        <v/>
      </c>
      <c r="R56" s="433"/>
      <c r="S56" s="434"/>
      <c r="T56" s="587"/>
    </row>
    <row r="57" spans="2:20" ht="15.75" thickBot="1" x14ac:dyDescent="0.3">
      <c r="B57" s="304" t="s">
        <v>19</v>
      </c>
      <c r="C57" s="2" t="s">
        <v>174</v>
      </c>
      <c r="D57" s="2" t="s">
        <v>789</v>
      </c>
      <c r="E57" s="2" t="s">
        <v>789</v>
      </c>
      <c r="F57" s="2" t="s">
        <v>789</v>
      </c>
      <c r="G57" s="2" t="s">
        <v>789</v>
      </c>
      <c r="H57" s="2" t="s">
        <v>789</v>
      </c>
      <c r="I57" s="2" t="s">
        <v>502</v>
      </c>
      <c r="J57" s="439" t="str">
        <f>IF('FIO B'!$E$10&lt;&gt;0,TR_RB_BT_FP,"")</f>
        <v/>
      </c>
      <c r="K57" s="439" t="str">
        <f>IF('FIO B'!$E$10&lt;&gt;0,TR_FR_BT_FP,"")</f>
        <v/>
      </c>
      <c r="L57" s="439" t="str">
        <f>IF('FIO B'!$E$10&lt;&gt;0,TR_CCT_BT_FP,"")</f>
        <v/>
      </c>
      <c r="M57" s="439" t="str">
        <f>IF('FIO B'!$E$10&lt;&gt;0,TR_CCD_BT_FP,"")</f>
        <v/>
      </c>
      <c r="N57" s="439" t="str">
        <f>IF('FIO B'!$E$10&lt;&gt;0,TR_CUSD_BT_FP,"")</f>
        <v/>
      </c>
      <c r="O57" s="439" t="str">
        <f>IF('FIO B'!$E$10&lt;&gt;0,TR_FIOB_BT_FP,"")</f>
        <v/>
      </c>
      <c r="P57" s="433"/>
      <c r="Q57" s="433"/>
      <c r="R57" s="433"/>
      <c r="S57" s="434"/>
      <c r="T57" s="587"/>
    </row>
    <row r="58" spans="2:20" x14ac:dyDescent="0.25">
      <c r="B58" s="302" t="s">
        <v>19</v>
      </c>
      <c r="C58" s="303" t="s">
        <v>177</v>
      </c>
      <c r="D58" s="303" t="s">
        <v>789</v>
      </c>
      <c r="E58" s="303" t="s">
        <v>789</v>
      </c>
      <c r="F58" s="303" t="s">
        <v>789</v>
      </c>
      <c r="G58" s="303" t="s">
        <v>789</v>
      </c>
      <c r="H58" s="303" t="s">
        <v>789</v>
      </c>
      <c r="I58" s="303" t="s">
        <v>502</v>
      </c>
      <c r="J58" s="438" t="str">
        <f>IF('FIO B'!$E$10&lt;&gt;0,TR_RB_BT_P*0.72+TR_RB_BT_FP,"")</f>
        <v/>
      </c>
      <c r="K58" s="438" t="str">
        <f>IF('FIO B'!$E$10&lt;&gt;0,TR_FR_BT_P*0.72+TR_FR_BT_FP,"")</f>
        <v/>
      </c>
      <c r="L58" s="438" t="str">
        <f>IF('FIO B'!$E$10&lt;&gt;0,TR_CCT_BT_P*0.72+TR_CCT_BT_FP,"")</f>
        <v/>
      </c>
      <c r="M58" s="438" t="str">
        <f>IF('FIO B'!$E$10&lt;&gt;0,TR_CCD_BT_P*0.72+TR_CCD_BT_FP,"")</f>
        <v/>
      </c>
      <c r="N58" s="438" t="str">
        <f>IF('FIO B'!$E$10&lt;&gt;0,TR_CUSD_BT_P*0.72+TR_CUSD_BT_FP,"")</f>
        <v/>
      </c>
      <c r="O58" s="438" t="str">
        <f>IF('FIO B'!$E$10&lt;&gt;0,TR_FIOB_BT_P*0.72+TR_FIOB_BT_FP,"")</f>
        <v/>
      </c>
      <c r="P58" s="430"/>
      <c r="Q58" s="430"/>
      <c r="R58" s="430"/>
      <c r="S58" s="431"/>
      <c r="T58" s="587"/>
    </row>
    <row r="59" spans="2:20" ht="15.75" thickBot="1" x14ac:dyDescent="0.3">
      <c r="B59" s="305" t="s">
        <v>19</v>
      </c>
      <c r="C59" s="306" t="s">
        <v>177</v>
      </c>
      <c r="D59" s="306" t="s">
        <v>789</v>
      </c>
      <c r="E59" s="306" t="s">
        <v>789</v>
      </c>
      <c r="F59" s="306" t="s">
        <v>789</v>
      </c>
      <c r="G59" s="306" t="s">
        <v>789</v>
      </c>
      <c r="H59" s="306" t="s">
        <v>789</v>
      </c>
      <c r="I59" s="306" t="s">
        <v>689</v>
      </c>
      <c r="J59" s="433"/>
      <c r="K59" s="433"/>
      <c r="L59" s="433"/>
      <c r="M59" s="433"/>
      <c r="N59" s="433"/>
      <c r="O59" s="433"/>
      <c r="P59" s="436" t="str">
        <f>IF('FIO B'!$E$10&lt;&gt;0,FPE_BT*PMIX_ENERGIA_MWh,"")</f>
        <v/>
      </c>
      <c r="Q59" s="436" t="str">
        <f>IF('FIO B'!$E$10&lt;&gt;0,FPE_BT*PMIX_ENERGIA_MWh,"")</f>
        <v/>
      </c>
      <c r="R59" s="435"/>
      <c r="S59" s="437"/>
      <c r="T59" s="587"/>
    </row>
    <row r="60" spans="2:20" x14ac:dyDescent="0.25">
      <c r="B60" s="302" t="s">
        <v>160</v>
      </c>
      <c r="C60" s="303" t="s">
        <v>3126</v>
      </c>
      <c r="D60" s="312" t="s">
        <v>789</v>
      </c>
      <c r="E60" s="303" t="s">
        <v>789</v>
      </c>
      <c r="F60" s="303" t="s">
        <v>789</v>
      </c>
      <c r="G60" s="303" t="s">
        <v>3127</v>
      </c>
      <c r="H60" s="303" t="s">
        <v>789</v>
      </c>
      <c r="I60" s="303" t="s">
        <v>502</v>
      </c>
      <c r="J60" s="430"/>
      <c r="K60" s="430"/>
      <c r="L60" s="430"/>
      <c r="M60" s="430"/>
      <c r="N60" s="430"/>
      <c r="O60" s="438">
        <f>'FIO B'!$K$44</f>
        <v>3.5500115953694564</v>
      </c>
      <c r="P60" s="438">
        <f>'FIO B'!$L$44</f>
        <v>0</v>
      </c>
      <c r="Q60" s="430"/>
      <c r="R60" s="438">
        <f>'FIO B'!$M$44</f>
        <v>1.4200046381477826E-2</v>
      </c>
      <c r="S60" s="443">
        <f>'FIO B'!$N$44</f>
        <v>3.5642116417509348E-2</v>
      </c>
      <c r="T60" s="587"/>
    </row>
    <row r="61" spans="2:20" ht="15.75" thickBot="1" x14ac:dyDescent="0.3">
      <c r="B61" s="305" t="s">
        <v>160</v>
      </c>
      <c r="C61" s="306" t="s">
        <v>3126</v>
      </c>
      <c r="D61" s="313" t="s">
        <v>789</v>
      </c>
      <c r="E61" s="306" t="s">
        <v>789</v>
      </c>
      <c r="F61" s="306" t="s">
        <v>789</v>
      </c>
      <c r="G61" s="306" t="s">
        <v>3128</v>
      </c>
      <c r="H61" s="306" t="s">
        <v>789</v>
      </c>
      <c r="I61" s="306" t="s">
        <v>502</v>
      </c>
      <c r="J61" s="435"/>
      <c r="K61" s="435"/>
      <c r="L61" s="435"/>
      <c r="M61" s="435"/>
      <c r="N61" s="435"/>
      <c r="O61" s="436">
        <f>'FIO B'!$K$45</f>
        <v>6.9967691386724695</v>
      </c>
      <c r="P61" s="436">
        <f>'FIO B'!$L$45</f>
        <v>0</v>
      </c>
      <c r="Q61" s="435"/>
      <c r="R61" s="436">
        <f>'FIO B'!$M$45</f>
        <v>2.7987076554689877E-2</v>
      </c>
      <c r="S61" s="444">
        <f>'FIO B'!$N$45</f>
        <v>7.0247562152271598E-2</v>
      </c>
      <c r="T61" s="587"/>
    </row>
    <row r="62" spans="2:20" ht="15.75" thickBot="1" x14ac:dyDescent="0.3">
      <c r="B62" s="308" t="s">
        <v>160</v>
      </c>
      <c r="C62" s="307" t="s">
        <v>797</v>
      </c>
      <c r="D62" s="447"/>
      <c r="E62" s="307" t="s">
        <v>789</v>
      </c>
      <c r="F62" s="307" t="s">
        <v>789</v>
      </c>
      <c r="G62" s="307" t="s">
        <v>504</v>
      </c>
      <c r="H62" s="307" t="s">
        <v>789</v>
      </c>
      <c r="I62" s="307" t="s">
        <v>689</v>
      </c>
      <c r="J62" s="441" t="str">
        <f>IF($D$62&lt;&gt;0,$J$64,"")</f>
        <v/>
      </c>
      <c r="K62" s="441" t="str">
        <f>IF($D$62&lt;&gt;0,$K$64,"")</f>
        <v/>
      </c>
      <c r="L62" s="441" t="str">
        <f>IF($D$62&lt;&gt;0,$L$64,"")</f>
        <v/>
      </c>
      <c r="M62" s="441" t="str">
        <f>IF($D$62&lt;&gt;0,$M$64,"")</f>
        <v/>
      </c>
      <c r="N62" s="441" t="str">
        <f>IF($D$62&lt;&gt;0,$N$64,"")</f>
        <v/>
      </c>
      <c r="O62" s="441" t="str">
        <f>IF(D62&lt;&gt;0,'FIO B'!$M$39,"")</f>
        <v/>
      </c>
      <c r="P62" s="441" t="str">
        <f>IF(D62&lt;&gt;0,FPE_BT*PMIX_ENERGIA_MWh,"")</f>
        <v/>
      </c>
      <c r="Q62" s="441" t="str">
        <f>IF(D62&lt;&gt;0,FPE_BT*PMIX_ENERGIA_MWh,"")</f>
        <v/>
      </c>
      <c r="R62" s="440"/>
      <c r="S62" s="445"/>
      <c r="T62" s="587"/>
    </row>
    <row r="63" spans="2:20" ht="15.75" thickBot="1" x14ac:dyDescent="0.3">
      <c r="B63" s="308" t="s">
        <v>633</v>
      </c>
      <c r="C63" s="307" t="s">
        <v>177</v>
      </c>
      <c r="D63" s="307" t="s">
        <v>789</v>
      </c>
      <c r="E63" s="307" t="s">
        <v>789</v>
      </c>
      <c r="F63" s="307" t="s">
        <v>789</v>
      </c>
      <c r="G63" s="307" t="s">
        <v>789</v>
      </c>
      <c r="H63" s="307" t="s">
        <v>555</v>
      </c>
      <c r="I63" s="307" t="s">
        <v>502</v>
      </c>
      <c r="J63" s="440"/>
      <c r="K63" s="440"/>
      <c r="L63" s="440"/>
      <c r="M63" s="440"/>
      <c r="N63" s="440"/>
      <c r="O63" s="441">
        <f>TR_FIOB_BT_FP</f>
        <v>4.263617175111122</v>
      </c>
      <c r="P63" s="440"/>
      <c r="Q63" s="440"/>
      <c r="R63" s="440"/>
      <c r="S63" s="445"/>
      <c r="T63" s="587"/>
    </row>
    <row r="64" spans="2:20" ht="15.75" thickBot="1" x14ac:dyDescent="0.3">
      <c r="B64" s="308" t="s">
        <v>633</v>
      </c>
      <c r="C64" s="307" t="s">
        <v>177</v>
      </c>
      <c r="D64" s="307" t="s">
        <v>789</v>
      </c>
      <c r="E64" s="307" t="s">
        <v>629</v>
      </c>
      <c r="F64" s="307" t="s">
        <v>629</v>
      </c>
      <c r="G64" s="307" t="s">
        <v>789</v>
      </c>
      <c r="H64" s="307" t="s">
        <v>789</v>
      </c>
      <c r="I64" s="307" t="s">
        <v>689</v>
      </c>
      <c r="J64" s="441">
        <f>(TR_RB_BT_P*'FIO B'!$E$11+TR_RB_BT_FP*'FIO B'!$F$11)/SUM('DADOS-Mercado'!$L$45:$L$50)</f>
        <v>52.126487793170142</v>
      </c>
      <c r="K64" s="441">
        <f>(TR_FR_BT_P*'FIO B'!$E$11+TR_FR_BT_FP*'FIO B'!$F$11)/SUM('DADOS-Mercado'!$L$45:$L$50)</f>
        <v>39.335081906047471</v>
      </c>
      <c r="L64" s="441">
        <f>(TR_CCT_BT_P*'FIO B'!$E$11+TR_CCT_BT_FP*'FIO B'!$F$11)/SUM('DADOS-Mercado'!$L$45:$L$50)</f>
        <v>10.82282535305141</v>
      </c>
      <c r="M64" s="441">
        <f>(TR_CCD_BT_P*'FIO B'!$E$11+TR_CCD_BT_FP*'FIO B'!$F$11)/SUM('DADOS-Mercado'!$L$45:$L$50)</f>
        <v>0</v>
      </c>
      <c r="N64" s="441">
        <f>(TR_CUSD_BT_P*'FIO B'!$E$11+TR_CUSD_BT_FP*'FIO B'!$F$11)/SUM('DADOS-Mercado'!$L$45:$L$50)</f>
        <v>0</v>
      </c>
      <c r="O64" s="441">
        <f>(TR_FIOB_BT_P*'FIO B'!$E$11+TR_FIOB_BT_FP*'FIO B'!$F$11)/SUM('DADOS-Mercado'!$L$45:$L$50)</f>
        <v>119.95520360262887</v>
      </c>
      <c r="P64" s="441">
        <f t="shared" ref="P64:Q83" si="0">FPE_BT*PMIX_ENERGIA_MWh</f>
        <v>18.502528226879718</v>
      </c>
      <c r="Q64" s="441">
        <f t="shared" si="0"/>
        <v>18.502528226879718</v>
      </c>
      <c r="R64" s="440"/>
      <c r="S64" s="445"/>
      <c r="T64" s="587"/>
    </row>
    <row r="65" spans="2:20" ht="15.75" thickBot="1" x14ac:dyDescent="0.3">
      <c r="B65" s="308" t="s">
        <v>633</v>
      </c>
      <c r="C65" s="307" t="s">
        <v>803</v>
      </c>
      <c r="D65" s="307" t="s">
        <v>789</v>
      </c>
      <c r="E65" s="307" t="s">
        <v>629</v>
      </c>
      <c r="F65" s="307" t="s">
        <v>629</v>
      </c>
      <c r="G65" s="307" t="s">
        <v>789</v>
      </c>
      <c r="H65" s="307" t="s">
        <v>789</v>
      </c>
      <c r="I65" s="307" t="s">
        <v>689</v>
      </c>
      <c r="J65" s="441">
        <f>(TR_RB_BT_P*'FIO B'!$E$11+TR_RB_BT_FP*'FIO B'!$F$11)/SUM('DADOS-Mercado'!$L$45:$L$50)</f>
        <v>52.126487793170142</v>
      </c>
      <c r="K65" s="441">
        <f>(TR_FR_BT_P*'FIO B'!$E$11+TR_FR_BT_FP*'FIO B'!$F$11)/SUM('DADOS-Mercado'!$L$45:$L$50)</f>
        <v>39.335081906047471</v>
      </c>
      <c r="L65" s="441">
        <f>(TR_CCT_BT_P*'FIO B'!$E$11+TR_CCT_BT_FP*'FIO B'!$F$11)/SUM('DADOS-Mercado'!$L$45:$L$50)</f>
        <v>10.82282535305141</v>
      </c>
      <c r="M65" s="441">
        <f>(TR_CCD_BT_P*'FIO B'!$E$11+TR_CCD_BT_FP*'FIO B'!$F$11)/SUM('DADOS-Mercado'!$L$45:$L$50)</f>
        <v>0</v>
      </c>
      <c r="N65" s="441">
        <f>(TR_CUSD_BT_P*'FIO B'!$E$11+TR_CUSD_BT_FP*'FIO B'!$F$11)/SUM('DADOS-Mercado'!$L$45:$L$50)</f>
        <v>0</v>
      </c>
      <c r="O65" s="441">
        <f>(TR_FIOB_BT_P*'FIO B'!$E$11+TR_FIOB_BT_FP*'FIO B'!$F$11)/SUM('DADOS-Mercado'!$L$45:$L$50)</f>
        <v>119.95520360262887</v>
      </c>
      <c r="P65" s="441">
        <f t="shared" si="0"/>
        <v>18.502528226879718</v>
      </c>
      <c r="Q65" s="441">
        <f t="shared" si="0"/>
        <v>18.502528226879718</v>
      </c>
      <c r="R65" s="440"/>
      <c r="S65" s="445"/>
      <c r="T65" s="587"/>
    </row>
    <row r="66" spans="2:20" x14ac:dyDescent="0.25">
      <c r="B66" s="302" t="s">
        <v>633</v>
      </c>
      <c r="C66" s="303" t="s">
        <v>788</v>
      </c>
      <c r="D66" s="303" t="s">
        <v>789</v>
      </c>
      <c r="E66" s="303" t="s">
        <v>629</v>
      </c>
      <c r="F66" s="303" t="s">
        <v>629</v>
      </c>
      <c r="G66" s="303" t="s">
        <v>789</v>
      </c>
      <c r="H66" s="303" t="s">
        <v>549</v>
      </c>
      <c r="I66" s="303" t="s">
        <v>689</v>
      </c>
      <c r="J66" s="438">
        <f>$J$68*RPFP_B1</f>
        <v>140.7415170415594</v>
      </c>
      <c r="K66" s="438">
        <f>$K$68*RPFP_B1</f>
        <v>106.20472114632818</v>
      </c>
      <c r="L66" s="438">
        <f>$L$68*RPFP_B1</f>
        <v>29.221628453238807</v>
      </c>
      <c r="M66" s="438">
        <f>$M$68*RPFP_B1</f>
        <v>0</v>
      </c>
      <c r="N66" s="438">
        <f>$N$68*RPFP_B1</f>
        <v>0</v>
      </c>
      <c r="O66" s="438">
        <f>$O$68*RPFP_B1</f>
        <v>323.87904972709799</v>
      </c>
      <c r="P66" s="433"/>
      <c r="Q66" s="433"/>
      <c r="R66" s="430"/>
      <c r="S66" s="431"/>
      <c r="T66" s="587"/>
    </row>
    <row r="67" spans="2:20" x14ac:dyDescent="0.25">
      <c r="B67" s="304" t="s">
        <v>633</v>
      </c>
      <c r="C67" s="2" t="s">
        <v>788</v>
      </c>
      <c r="D67" s="2" t="s">
        <v>789</v>
      </c>
      <c r="E67" s="2" t="s">
        <v>629</v>
      </c>
      <c r="F67" s="2" t="s">
        <v>629</v>
      </c>
      <c r="G67" s="2" t="s">
        <v>789</v>
      </c>
      <c r="H67" s="2" t="s">
        <v>3129</v>
      </c>
      <c r="I67" s="2" t="s">
        <v>689</v>
      </c>
      <c r="J67" s="439">
        <f>$J$68*RINTFP_B1</f>
        <v>84.44491022493564</v>
      </c>
      <c r="K67" s="439">
        <f>$K$68*RINTFP_B1</f>
        <v>63.72283268779691</v>
      </c>
      <c r="L67" s="439">
        <f>$L$68*RINTFP_B1</f>
        <v>17.532977071943286</v>
      </c>
      <c r="M67" s="439">
        <f>$M$68*RINTFP_B1</f>
        <v>0</v>
      </c>
      <c r="N67" s="439">
        <f>$N$68*RINTFP_B1</f>
        <v>0</v>
      </c>
      <c r="O67" s="439">
        <f>$O$68*RINTFP_B1</f>
        <v>194.32742983625877</v>
      </c>
      <c r="P67" s="433"/>
      <c r="Q67" s="433"/>
      <c r="R67" s="433"/>
      <c r="S67" s="434"/>
      <c r="T67" s="587"/>
    </row>
    <row r="68" spans="2:20" x14ac:dyDescent="0.25">
      <c r="B68" s="304" t="s">
        <v>633</v>
      </c>
      <c r="C68" s="2" t="s">
        <v>788</v>
      </c>
      <c r="D68" s="2" t="s">
        <v>789</v>
      </c>
      <c r="E68" s="2" t="s">
        <v>629</v>
      </c>
      <c r="F68" s="2" t="s">
        <v>629</v>
      </c>
      <c r="G68" s="2" t="s">
        <v>789</v>
      </c>
      <c r="H68" s="2" t="s">
        <v>555</v>
      </c>
      <c r="I68" s="2" t="s">
        <v>689</v>
      </c>
      <c r="J68" s="439">
        <f>$J$65*kz_B1</f>
        <v>28.148303408311879</v>
      </c>
      <c r="K68" s="439">
        <f>$K$65*kz_B1</f>
        <v>21.240944229265637</v>
      </c>
      <c r="L68" s="439">
        <f>$L$65*kz_B1</f>
        <v>5.8443256906477616</v>
      </c>
      <c r="M68" s="439">
        <f>$M$65*kz_B1</f>
        <v>0</v>
      </c>
      <c r="N68" s="439">
        <f>$N$65*kz_B1</f>
        <v>0</v>
      </c>
      <c r="O68" s="439">
        <f>$O$65*kz_B1</f>
        <v>64.775809945419596</v>
      </c>
      <c r="P68" s="433"/>
      <c r="Q68" s="433"/>
      <c r="R68" s="433"/>
      <c r="S68" s="433"/>
      <c r="T68" s="587"/>
    </row>
    <row r="69" spans="2:20" ht="15.75" thickBot="1" x14ac:dyDescent="0.3">
      <c r="B69" s="305" t="s">
        <v>633</v>
      </c>
      <c r="C69" s="306" t="s">
        <v>788</v>
      </c>
      <c r="D69" s="306" t="s">
        <v>789</v>
      </c>
      <c r="E69" s="306" t="s">
        <v>629</v>
      </c>
      <c r="F69" s="306" t="s">
        <v>629</v>
      </c>
      <c r="G69" s="306" t="s">
        <v>789</v>
      </c>
      <c r="H69" s="306" t="s">
        <v>789</v>
      </c>
      <c r="I69" s="2" t="s">
        <v>689</v>
      </c>
      <c r="J69" s="435"/>
      <c r="K69" s="435"/>
      <c r="L69" s="435"/>
      <c r="M69" s="435"/>
      <c r="N69" s="435"/>
      <c r="O69" s="435"/>
      <c r="P69" s="436">
        <f t="shared" si="0"/>
        <v>18.502528226879718</v>
      </c>
      <c r="Q69" s="436">
        <f t="shared" si="0"/>
        <v>18.502528226879718</v>
      </c>
      <c r="R69" s="435"/>
      <c r="S69" s="437"/>
      <c r="T69" s="587"/>
    </row>
    <row r="70" spans="2:20" ht="15.75" thickBot="1" x14ac:dyDescent="0.3">
      <c r="B70" s="308" t="s">
        <v>635</v>
      </c>
      <c r="C70" s="307" t="s">
        <v>177</v>
      </c>
      <c r="D70" s="307" t="s">
        <v>789</v>
      </c>
      <c r="E70" s="307" t="s">
        <v>628</v>
      </c>
      <c r="F70" s="307" t="s">
        <v>789</v>
      </c>
      <c r="G70" s="307" t="s">
        <v>789</v>
      </c>
      <c r="H70" s="307" t="s">
        <v>789</v>
      </c>
      <c r="I70" s="307" t="s">
        <v>689</v>
      </c>
      <c r="J70" s="441">
        <f>(TR_RB_BT_P*'FIO B'!$E$11+TR_RB_BT_FP*'FIO B'!$F$11)/SUM('DADOS-Mercado'!$L$45:$L$50)</f>
        <v>52.126487793170142</v>
      </c>
      <c r="K70" s="441">
        <f>(TR_FR_BT_P*'FIO B'!$E$11+TR_FR_BT_FP*'FIO B'!$F$11)/SUM('DADOS-Mercado'!$L$45:$L$50)</f>
        <v>39.335081906047471</v>
      </c>
      <c r="L70" s="441">
        <f>(TR_CCT_BT_P*'FIO B'!$E$11+TR_CCT_BT_FP*'FIO B'!$F$11)/SUM('DADOS-Mercado'!$L$45:$L$50)</f>
        <v>10.82282535305141</v>
      </c>
      <c r="M70" s="441">
        <f>(TR_CCD_BT_P*'FIO B'!$E$11+TR_CCD_BT_FP*'FIO B'!$F$11)/SUM('DADOS-Mercado'!$L$45:$L$50)</f>
        <v>0</v>
      </c>
      <c r="N70" s="441">
        <f>(TR_CUSD_BT_P*'FIO B'!$E$11+TR_CUSD_BT_FP*'FIO B'!$F$11)/SUM('DADOS-Mercado'!$L$45:$L$50)</f>
        <v>0</v>
      </c>
      <c r="O70" s="441">
        <f>(TR_FIOB_BT_P*'FIO B'!$E$11+TR_FIOB_BT_FP*'FIO B'!$F$11)/SUM('DADOS-Mercado'!$L$45:$L$50)</f>
        <v>119.95520360262887</v>
      </c>
      <c r="P70" s="441">
        <f t="shared" si="0"/>
        <v>18.502528226879718</v>
      </c>
      <c r="Q70" s="441">
        <f t="shared" si="0"/>
        <v>18.502528226879718</v>
      </c>
      <c r="R70" s="440"/>
      <c r="S70" s="445"/>
      <c r="T70" s="587"/>
    </row>
    <row r="71" spans="2:20" ht="15.75" thickBot="1" x14ac:dyDescent="0.3">
      <c r="B71" s="308" t="s">
        <v>635</v>
      </c>
      <c r="C71" s="307" t="s">
        <v>803</v>
      </c>
      <c r="D71" s="307" t="s">
        <v>789</v>
      </c>
      <c r="E71" s="307" t="s">
        <v>628</v>
      </c>
      <c r="F71" s="307" t="s">
        <v>789</v>
      </c>
      <c r="G71" s="307" t="s">
        <v>789</v>
      </c>
      <c r="H71" s="307" t="s">
        <v>789</v>
      </c>
      <c r="I71" s="307" t="s">
        <v>689</v>
      </c>
      <c r="J71" s="441">
        <f>(TR_RB_BT_P*'FIO B'!$E$11+TR_RB_BT_FP*'FIO B'!$F$11)/SUM('DADOS-Mercado'!$L$45:$L$50)</f>
        <v>52.126487793170142</v>
      </c>
      <c r="K71" s="441">
        <f>(TR_FR_BT_P*'FIO B'!$E$11+TR_FR_BT_FP*'FIO B'!$F$11)/SUM('DADOS-Mercado'!$L$45:$L$50)</f>
        <v>39.335081906047471</v>
      </c>
      <c r="L71" s="441">
        <f>(TR_CCT_BT_P*'FIO B'!$E$11+TR_CCT_BT_FP*'FIO B'!$F$11)/SUM('DADOS-Mercado'!$L$45:$L$50)</f>
        <v>10.82282535305141</v>
      </c>
      <c r="M71" s="441">
        <f>(TR_CCD_BT_P*'FIO B'!$E$11+TR_CCD_BT_FP*'FIO B'!$F$11)/SUM('DADOS-Mercado'!$L$45:$L$50)</f>
        <v>0</v>
      </c>
      <c r="N71" s="441">
        <f>(TR_CUSD_BT_P*'FIO B'!$E$11+TR_CUSD_BT_FP*'FIO B'!$F$11)/SUM('DADOS-Mercado'!$L$45:$L$50)</f>
        <v>0</v>
      </c>
      <c r="O71" s="441">
        <f>(TR_FIOB_BT_P*'FIO B'!$E$11+TR_FIOB_BT_FP*'FIO B'!$F$11)/SUM('DADOS-Mercado'!$L$45:$L$50)</f>
        <v>119.95520360262887</v>
      </c>
      <c r="P71" s="441">
        <f t="shared" si="0"/>
        <v>18.502528226879718</v>
      </c>
      <c r="Q71" s="441">
        <f t="shared" si="0"/>
        <v>18.502528226879718</v>
      </c>
      <c r="R71" s="440"/>
      <c r="S71" s="445"/>
      <c r="T71" s="587"/>
    </row>
    <row r="72" spans="2:20" x14ac:dyDescent="0.25">
      <c r="B72" s="302" t="s">
        <v>635</v>
      </c>
      <c r="C72" s="303" t="s">
        <v>788</v>
      </c>
      <c r="D72" s="303" t="s">
        <v>789</v>
      </c>
      <c r="E72" s="303" t="s">
        <v>628</v>
      </c>
      <c r="F72" s="303" t="s">
        <v>789</v>
      </c>
      <c r="G72" s="303" t="s">
        <v>789</v>
      </c>
      <c r="H72" s="303" t="s">
        <v>549</v>
      </c>
      <c r="I72" s="303" t="s">
        <v>689</v>
      </c>
      <c r="J72" s="438">
        <f>$J$74*RPFP_B2</f>
        <v>143.34784143121792</v>
      </c>
      <c r="K72" s="438">
        <f>$K$74*RPFP_B2</f>
        <v>108.17147524163055</v>
      </c>
      <c r="L72" s="438">
        <f>$L$74*RPFP_B2</f>
        <v>29.762769720891381</v>
      </c>
      <c r="M72" s="438">
        <f>$M$74*RPFP_B2</f>
        <v>0</v>
      </c>
      <c r="N72" s="438">
        <f>$N$74*RPFP_B2</f>
        <v>0</v>
      </c>
      <c r="O72" s="438">
        <f>$O$74*RPFP_B2</f>
        <v>329.87680990722941</v>
      </c>
      <c r="P72" s="430"/>
      <c r="Q72" s="430"/>
      <c r="R72" s="430"/>
      <c r="S72" s="431"/>
      <c r="T72" s="587"/>
    </row>
    <row r="73" spans="2:20" x14ac:dyDescent="0.25">
      <c r="B73" s="304" t="s">
        <v>635</v>
      </c>
      <c r="C73" s="2" t="s">
        <v>788</v>
      </c>
      <c r="D73" s="2" t="s">
        <v>789</v>
      </c>
      <c r="E73" s="2" t="s">
        <v>628</v>
      </c>
      <c r="F73" s="2" t="s">
        <v>789</v>
      </c>
      <c r="G73" s="2" t="s">
        <v>789</v>
      </c>
      <c r="H73" s="2" t="s">
        <v>3129</v>
      </c>
      <c r="I73" s="2" t="s">
        <v>689</v>
      </c>
      <c r="J73" s="439">
        <f>$J$74*RINTFP_B2</f>
        <v>86.008704858730738</v>
      </c>
      <c r="K73" s="439">
        <f>$K$74*RINTFP_B2</f>
        <v>64.902885144978328</v>
      </c>
      <c r="L73" s="439">
        <f>$L$74*RINTFP_B2</f>
        <v>17.857661832534827</v>
      </c>
      <c r="M73" s="439">
        <f>$M$74*RINTFP_B2</f>
        <v>0</v>
      </c>
      <c r="N73" s="439">
        <f>$N$74*RINTFP_B2</f>
        <v>0</v>
      </c>
      <c r="O73" s="439">
        <f>$O$74*RINTFP_B2</f>
        <v>197.92608594433767</v>
      </c>
      <c r="P73" s="433"/>
      <c r="Q73" s="433"/>
      <c r="R73" s="433"/>
      <c r="S73" s="434"/>
      <c r="T73" s="587"/>
    </row>
    <row r="74" spans="2:20" x14ac:dyDescent="0.25">
      <c r="B74" s="304" t="s">
        <v>635</v>
      </c>
      <c r="C74" s="2" t="s">
        <v>788</v>
      </c>
      <c r="D74" s="2" t="s">
        <v>789</v>
      </c>
      <c r="E74" s="2" t="s">
        <v>628</v>
      </c>
      <c r="F74" s="2" t="s">
        <v>789</v>
      </c>
      <c r="G74" s="2" t="s">
        <v>789</v>
      </c>
      <c r="H74" s="2" t="s">
        <v>555</v>
      </c>
      <c r="I74" s="2" t="s">
        <v>689</v>
      </c>
      <c r="J74" s="439">
        <f>$J$65*kz_B2</f>
        <v>28.669568286243582</v>
      </c>
      <c r="K74" s="439">
        <f>$K$65*kz_B2</f>
        <v>21.634295048326109</v>
      </c>
      <c r="L74" s="439">
        <f>$L$65*kz_B2</f>
        <v>5.952553944178276</v>
      </c>
      <c r="M74" s="439">
        <f>$M$65*kz_B2</f>
        <v>0</v>
      </c>
      <c r="N74" s="439">
        <f>$N$65*kz_B2</f>
        <v>0</v>
      </c>
      <c r="O74" s="439">
        <f>$O$65*kz_B2</f>
        <v>65.975361981445886</v>
      </c>
      <c r="P74" s="433"/>
      <c r="Q74" s="433"/>
      <c r="R74" s="433"/>
      <c r="S74" s="434"/>
      <c r="T74" s="667"/>
    </row>
    <row r="75" spans="2:20" ht="15.75" thickBot="1" x14ac:dyDescent="0.3">
      <c r="B75" s="305" t="s">
        <v>635</v>
      </c>
      <c r="C75" s="306" t="s">
        <v>788</v>
      </c>
      <c r="D75" s="306" t="s">
        <v>789</v>
      </c>
      <c r="E75" s="306" t="s">
        <v>628</v>
      </c>
      <c r="F75" s="306" t="s">
        <v>789</v>
      </c>
      <c r="G75" s="306" t="s">
        <v>789</v>
      </c>
      <c r="H75" s="306" t="s">
        <v>789</v>
      </c>
      <c r="I75" s="2" t="s">
        <v>689</v>
      </c>
      <c r="J75" s="435"/>
      <c r="K75" s="435"/>
      <c r="L75" s="435"/>
      <c r="M75" s="435"/>
      <c r="N75" s="435"/>
      <c r="O75" s="435"/>
      <c r="P75" s="439">
        <f t="shared" si="0"/>
        <v>18.502528226879718</v>
      </c>
      <c r="Q75" s="439">
        <f t="shared" si="0"/>
        <v>18.502528226879718</v>
      </c>
      <c r="R75" s="435"/>
      <c r="S75" s="437"/>
      <c r="T75" s="587"/>
    </row>
    <row r="76" spans="2:20" ht="15.75" thickBot="1" x14ac:dyDescent="0.3">
      <c r="B76" s="308" t="s">
        <v>637</v>
      </c>
      <c r="C76" s="307" t="s">
        <v>177</v>
      </c>
      <c r="D76" s="307" t="s">
        <v>789</v>
      </c>
      <c r="E76" s="307" t="s">
        <v>789</v>
      </c>
      <c r="F76" s="307" t="s">
        <v>789</v>
      </c>
      <c r="G76" s="307" t="s">
        <v>789</v>
      </c>
      <c r="H76" s="307" t="s">
        <v>789</v>
      </c>
      <c r="I76" s="307" t="s">
        <v>689</v>
      </c>
      <c r="J76" s="441">
        <f>(TR_RB_BT_P*'FIO B'!$E$11+TR_RB_BT_FP*'FIO B'!$F$11)/SUM('DADOS-Mercado'!$L$45:$L$50)</f>
        <v>52.126487793170142</v>
      </c>
      <c r="K76" s="441">
        <f>(TR_FR_BT_P*'FIO B'!$E$11+TR_FR_BT_FP*'FIO B'!$F$11)/SUM('DADOS-Mercado'!$L$45:$L$50)</f>
        <v>39.335081906047471</v>
      </c>
      <c r="L76" s="441">
        <f>(TR_CCT_BT_P*'FIO B'!$E$11+TR_CCT_BT_FP*'FIO B'!$F$11)/SUM('DADOS-Mercado'!$L$45:$L$50)</f>
        <v>10.82282535305141</v>
      </c>
      <c r="M76" s="441">
        <f>(TR_CCD_BT_P*'FIO B'!$E$11+TR_CCD_BT_FP*'FIO B'!$F$11)/SUM('DADOS-Mercado'!$L$45:$L$50)</f>
        <v>0</v>
      </c>
      <c r="N76" s="441">
        <f>(TR_CUSD_BT_P*'FIO B'!$E$11+TR_CUSD_BT_FP*'FIO B'!$F$11)/SUM('DADOS-Mercado'!$L$45:$L$50)</f>
        <v>0</v>
      </c>
      <c r="O76" s="441">
        <f>(TR_FIOB_BT_P*'FIO B'!$E$11+TR_FIOB_BT_FP*'FIO B'!$F$11)/SUM('DADOS-Mercado'!$L$45:$L$50)</f>
        <v>119.95520360262887</v>
      </c>
      <c r="P76" s="441">
        <f t="shared" si="0"/>
        <v>18.502528226879718</v>
      </c>
      <c r="Q76" s="441">
        <f t="shared" si="0"/>
        <v>18.502528226879718</v>
      </c>
      <c r="R76" s="440"/>
      <c r="S76" s="445"/>
      <c r="T76" s="587"/>
    </row>
    <row r="77" spans="2:20" ht="15.75" thickBot="1" x14ac:dyDescent="0.3">
      <c r="B77" s="308" t="s">
        <v>637</v>
      </c>
      <c r="C77" s="307" t="s">
        <v>803</v>
      </c>
      <c r="D77" s="307" t="s">
        <v>789</v>
      </c>
      <c r="E77" s="307" t="s">
        <v>789</v>
      </c>
      <c r="F77" s="307" t="s">
        <v>789</v>
      </c>
      <c r="G77" s="307" t="s">
        <v>789</v>
      </c>
      <c r="H77" s="307" t="s">
        <v>789</v>
      </c>
      <c r="I77" s="307" t="s">
        <v>689</v>
      </c>
      <c r="J77" s="441">
        <f>(TR_RB_BT_P*'FIO B'!$E$11+TR_RB_BT_FP*'FIO B'!$F$11)/SUM('DADOS-Mercado'!$L$45:$L$50)</f>
        <v>52.126487793170142</v>
      </c>
      <c r="K77" s="441">
        <f>(TR_FR_BT_P*'FIO B'!$E$11+TR_FR_BT_FP*'FIO B'!$F$11)/SUM('DADOS-Mercado'!$L$45:$L$50)</f>
        <v>39.335081906047471</v>
      </c>
      <c r="L77" s="441">
        <f>(TR_CCT_BT_P*'FIO B'!$E$11+TR_CCT_BT_FP*'FIO B'!$F$11)/SUM('DADOS-Mercado'!$L$45:$L$50)</f>
        <v>10.82282535305141</v>
      </c>
      <c r="M77" s="441">
        <f>(TR_CCD_BT_P*'FIO B'!$E$11+TR_CCD_BT_FP*'FIO B'!$F$11)/SUM('DADOS-Mercado'!$L$45:$L$50)</f>
        <v>0</v>
      </c>
      <c r="N77" s="441">
        <f>(TR_CUSD_BT_P*'FIO B'!$E$11+TR_CUSD_BT_FP*'FIO B'!$F$11)/SUM('DADOS-Mercado'!$L$45:$L$50)</f>
        <v>0</v>
      </c>
      <c r="O77" s="441">
        <f>(TR_FIOB_BT_P*'FIO B'!$E$11+TR_FIOB_BT_FP*'FIO B'!$F$11)/SUM('DADOS-Mercado'!$L$45:$L$50)</f>
        <v>119.95520360262887</v>
      </c>
      <c r="P77" s="441">
        <f t="shared" si="0"/>
        <v>18.502528226879718</v>
      </c>
      <c r="Q77" s="441">
        <f t="shared" si="0"/>
        <v>18.502528226879718</v>
      </c>
      <c r="R77" s="440"/>
      <c r="S77" s="445"/>
      <c r="T77" s="587"/>
    </row>
    <row r="78" spans="2:20" x14ac:dyDescent="0.25">
      <c r="B78" s="302" t="s">
        <v>637</v>
      </c>
      <c r="C78" s="303" t="s">
        <v>788</v>
      </c>
      <c r="D78" s="303" t="s">
        <v>789</v>
      </c>
      <c r="E78" s="303" t="s">
        <v>789</v>
      </c>
      <c r="F78" s="303" t="s">
        <v>789</v>
      </c>
      <c r="G78" s="303" t="s">
        <v>789</v>
      </c>
      <c r="H78" s="303" t="s">
        <v>549</v>
      </c>
      <c r="I78" s="303" t="s">
        <v>689</v>
      </c>
      <c r="J78" s="438">
        <f>$J$80*RPFP_B3</f>
        <v>179.83638288643698</v>
      </c>
      <c r="K78" s="438">
        <f>$K$80*RPFP_B3</f>
        <v>135.70603257586376</v>
      </c>
      <c r="L78" s="438">
        <f>$L$80*RPFP_B3</f>
        <v>37.338747468027364</v>
      </c>
      <c r="M78" s="438">
        <f>$M$80*RPFP_B3</f>
        <v>0</v>
      </c>
      <c r="N78" s="438">
        <f>$N$80*RPFP_B3</f>
        <v>0</v>
      </c>
      <c r="O78" s="438">
        <f>$O$80*RPFP_B3</f>
        <v>413.84545242906961</v>
      </c>
      <c r="P78" s="430"/>
      <c r="Q78" s="430"/>
      <c r="R78" s="430"/>
      <c r="S78" s="431"/>
      <c r="T78" s="587"/>
    </row>
    <row r="79" spans="2:20" x14ac:dyDescent="0.25">
      <c r="B79" s="304" t="s">
        <v>637</v>
      </c>
      <c r="C79" s="2" t="s">
        <v>788</v>
      </c>
      <c r="D79" s="2" t="s">
        <v>789</v>
      </c>
      <c r="E79" s="2" t="s">
        <v>789</v>
      </c>
      <c r="F79" s="2" t="s">
        <v>789</v>
      </c>
      <c r="G79" s="2" t="s">
        <v>789</v>
      </c>
      <c r="H79" s="2" t="s">
        <v>3129</v>
      </c>
      <c r="I79" s="2" t="s">
        <v>689</v>
      </c>
      <c r="J79" s="439">
        <f>$J$80*RINTFP_B3</f>
        <v>107.90182973186218</v>
      </c>
      <c r="K79" s="439">
        <f>$K$80*RINTFP_B3</f>
        <v>81.42361954551825</v>
      </c>
      <c r="L79" s="439">
        <f>$L$80*RINTFP_B3</f>
        <v>22.403248480816416</v>
      </c>
      <c r="M79" s="439">
        <f>$M$80*RINTFP_B3</f>
        <v>0</v>
      </c>
      <c r="N79" s="439">
        <f>$N$80*RINTFP_B3</f>
        <v>0</v>
      </c>
      <c r="O79" s="439">
        <f>$O$80*RINTFP_B3</f>
        <v>248.30727145744174</v>
      </c>
      <c r="P79" s="433"/>
      <c r="Q79" s="433"/>
      <c r="R79" s="433"/>
      <c r="S79" s="434"/>
      <c r="T79" s="587"/>
    </row>
    <row r="80" spans="2:20" x14ac:dyDescent="0.25">
      <c r="B80" s="304" t="s">
        <v>637</v>
      </c>
      <c r="C80" s="2" t="s">
        <v>788</v>
      </c>
      <c r="D80" s="2" t="s">
        <v>789</v>
      </c>
      <c r="E80" s="2" t="s">
        <v>789</v>
      </c>
      <c r="F80" s="2" t="s">
        <v>789</v>
      </c>
      <c r="G80" s="2" t="s">
        <v>789</v>
      </c>
      <c r="H80" s="2" t="s">
        <v>555</v>
      </c>
      <c r="I80" s="2" t="s">
        <v>689</v>
      </c>
      <c r="J80" s="439">
        <f>$J$65*kz_B3</f>
        <v>35.967276577287393</v>
      </c>
      <c r="K80" s="439">
        <f>$K$65*kz_B3</f>
        <v>27.141206515172751</v>
      </c>
      <c r="L80" s="439">
        <f>$L$65*kz_B3</f>
        <v>7.4677494936054725</v>
      </c>
      <c r="M80" s="439">
        <f>$M$65*kz_B3</f>
        <v>0</v>
      </c>
      <c r="N80" s="439">
        <f>$N$65*kz_B3</f>
        <v>0</v>
      </c>
      <c r="O80" s="439">
        <f>$O$65*kz_B3</f>
        <v>82.769090485813919</v>
      </c>
      <c r="P80" s="433"/>
      <c r="Q80" s="433"/>
      <c r="R80" s="433"/>
      <c r="S80" s="434"/>
      <c r="T80" s="667"/>
    </row>
    <row r="81" spans="2:20" ht="15.75" thickBot="1" x14ac:dyDescent="0.3">
      <c r="B81" s="304" t="s">
        <v>637</v>
      </c>
      <c r="C81" s="2" t="s">
        <v>788</v>
      </c>
      <c r="D81" s="2" t="s">
        <v>789</v>
      </c>
      <c r="E81" s="2" t="s">
        <v>789</v>
      </c>
      <c r="F81" s="2" t="s">
        <v>789</v>
      </c>
      <c r="G81" s="2" t="s">
        <v>789</v>
      </c>
      <c r="H81" s="2" t="s">
        <v>789</v>
      </c>
      <c r="I81" s="2" t="s">
        <v>789</v>
      </c>
      <c r="J81" s="433"/>
      <c r="K81" s="433"/>
      <c r="L81" s="433"/>
      <c r="M81" s="433"/>
      <c r="N81" s="433"/>
      <c r="O81" s="433"/>
      <c r="P81" s="439">
        <f t="shared" si="0"/>
        <v>18.502528226879718</v>
      </c>
      <c r="Q81" s="439">
        <f t="shared" si="0"/>
        <v>18.502528226879718</v>
      </c>
      <c r="R81" s="433"/>
      <c r="S81" s="434"/>
      <c r="T81" s="587"/>
    </row>
    <row r="82" spans="2:20" x14ac:dyDescent="0.25">
      <c r="B82" s="302" t="s">
        <v>643</v>
      </c>
      <c r="C82" s="303" t="s">
        <v>177</v>
      </c>
      <c r="D82" s="303" t="s">
        <v>789</v>
      </c>
      <c r="E82" s="303" t="s">
        <v>644</v>
      </c>
      <c r="F82" s="303" t="s">
        <v>804</v>
      </c>
      <c r="G82" s="303" t="s">
        <v>789</v>
      </c>
      <c r="H82" s="303" t="s">
        <v>789</v>
      </c>
      <c r="I82" s="303" t="s">
        <v>689</v>
      </c>
      <c r="J82" s="438">
        <f>(TR_RB_BT_P*'FIO B'!$E$11+TR_RB_BT_FP*'FIO B'!$F$11)/SUM('DADOS-Mercado'!$L$45:$L$50)</f>
        <v>52.126487793170142</v>
      </c>
      <c r="K82" s="438">
        <f>(TR_FR_BT_P*'FIO B'!$E$11+TR_FR_BT_FP*'FIO B'!$F$11)/SUM('DADOS-Mercado'!$L$45:$L$50)</f>
        <v>39.335081906047471</v>
      </c>
      <c r="L82" s="438">
        <f>(TR_CCT_BT_P*'FIO B'!$E$11+TR_CCT_BT_FP*'FIO B'!$F$11)/SUM('DADOS-Mercado'!$L$45:$L$50)</f>
        <v>10.82282535305141</v>
      </c>
      <c r="M82" s="438">
        <f>(TR_CCD_BT_P*'FIO B'!$E$11+TR_CCD_BT_FP*'FIO B'!$F$11)/SUM('DADOS-Mercado'!$L$45:$L$50)</f>
        <v>0</v>
      </c>
      <c r="N82" s="438">
        <f>(TR_CUSD_BT_P*'FIO B'!$E$11+TR_CUSD_BT_FP*'FIO B'!$F$11)/SUM('DADOS-Mercado'!$L$45:$L$50)</f>
        <v>0</v>
      </c>
      <c r="O82" s="438">
        <f>(TR_FIOB_BT_P*'FIO B'!$E$11+TR_FIOB_BT_FP*'FIO B'!$F$11)/SUM('DADOS-Mercado'!$L$45:$L$50)</f>
        <v>119.95520360262887</v>
      </c>
      <c r="P82" s="438">
        <f t="shared" si="0"/>
        <v>18.502528226879718</v>
      </c>
      <c r="Q82" s="438">
        <f t="shared" si="0"/>
        <v>18.502528226879718</v>
      </c>
      <c r="R82" s="430"/>
      <c r="S82" s="431"/>
      <c r="T82" s="587"/>
    </row>
    <row r="83" spans="2:20" ht="15.75" thickBot="1" x14ac:dyDescent="0.3">
      <c r="B83" s="305" t="s">
        <v>643</v>
      </c>
      <c r="C83" s="306" t="s">
        <v>177</v>
      </c>
      <c r="D83" s="306" t="s">
        <v>789</v>
      </c>
      <c r="E83" s="306" t="s">
        <v>644</v>
      </c>
      <c r="F83" s="306" t="s">
        <v>805</v>
      </c>
      <c r="G83" s="306" t="s">
        <v>789</v>
      </c>
      <c r="H83" s="306" t="s">
        <v>789</v>
      </c>
      <c r="I83" s="306" t="s">
        <v>689</v>
      </c>
      <c r="J83" s="436">
        <f>(TR_RB_BT_P*'FIO B'!$E$11+TR_RB_BT_FP*'FIO B'!$F$11)/SUM('DADOS-Mercado'!$L$45:$L$50)</f>
        <v>52.126487793170142</v>
      </c>
      <c r="K83" s="436">
        <f>(TR_FR_BT_P*'FIO B'!$E$11+TR_FR_BT_FP*'FIO B'!$F$11)/SUM('DADOS-Mercado'!$L$45:$L$50)</f>
        <v>39.335081906047471</v>
      </c>
      <c r="L83" s="436">
        <f>(TR_CCT_BT_P*'FIO B'!$E$11+TR_CCT_BT_FP*'FIO B'!$F$11)/SUM('DADOS-Mercado'!$L$45:$L$50)</f>
        <v>10.82282535305141</v>
      </c>
      <c r="M83" s="436">
        <f>(TR_CCD_BT_P*'FIO B'!$E$11+TR_CCD_BT_FP*'FIO B'!$F$11)/SUM('DADOS-Mercado'!$L$45:$L$50)</f>
        <v>0</v>
      </c>
      <c r="N83" s="436">
        <f>(TR_CUSD_BT_P*'FIO B'!$E$11+TR_CUSD_BT_FP*'FIO B'!$F$11)/SUM('DADOS-Mercado'!$L$45:$L$50)</f>
        <v>0</v>
      </c>
      <c r="O83" s="436">
        <f>(TR_FIOB_BT_P*'FIO B'!$E$11+TR_FIOB_BT_FP*'FIO B'!$F$11)/SUM('DADOS-Mercado'!$L$45:$L$50)</f>
        <v>119.95520360262887</v>
      </c>
      <c r="P83" s="436">
        <f t="shared" si="0"/>
        <v>18.502528226879718</v>
      </c>
      <c r="Q83" s="436">
        <f t="shared" si="0"/>
        <v>18.502528226879718</v>
      </c>
      <c r="R83" s="435"/>
      <c r="S83" s="437"/>
      <c r="T83" s="588"/>
    </row>
  </sheetData>
  <dataValidations count="1">
    <dataValidation type="list" allowBlank="1" showInputMessage="1" showErrorMessage="1" sqref="I4:I7" xr:uid="{00000000-0002-0000-1200-000000000000}">
      <formula1>"RTA-1,RTA-2,RTA-3,RTA-4"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7409" r:id="rId4" name="ImpCod">
          <controlPr defaultSize="0" autoLine="0" r:id="rId5">
            <anchor moveWithCells="1">
              <from>
                <xdr:col>9</xdr:col>
                <xdr:colOff>142875</xdr:colOff>
                <xdr:row>0</xdr:row>
                <xdr:rowOff>152400</xdr:rowOff>
              </from>
              <to>
                <xdr:col>11</xdr:col>
                <xdr:colOff>304800</xdr:colOff>
                <xdr:row>2</xdr:row>
                <xdr:rowOff>57150</xdr:rowOff>
              </to>
            </anchor>
          </controlPr>
        </control>
      </mc:Choice>
      <mc:Fallback>
        <control shapeId="17409" r:id="rId4" name="ImpCod"/>
      </mc:Fallback>
    </mc:AlternateContent>
    <mc:AlternateContent xmlns:mc="http://schemas.openxmlformats.org/markup-compatibility/2006">
      <mc:Choice Requires="x14">
        <control shapeId="17410" r:id="rId6" name="CarrTR">
          <controlPr defaultSize="0" autoLine="0" r:id="rId7">
            <anchor moveWithCells="1">
              <from>
                <xdr:col>9</xdr:col>
                <xdr:colOff>161925</xdr:colOff>
                <xdr:row>3</xdr:row>
                <xdr:rowOff>85725</xdr:rowOff>
              </from>
              <to>
                <xdr:col>11</xdr:col>
                <xdr:colOff>381000</xdr:colOff>
                <xdr:row>5</xdr:row>
                <xdr:rowOff>0</xdr:rowOff>
              </to>
            </anchor>
          </controlPr>
        </control>
      </mc:Choice>
      <mc:Fallback>
        <control shapeId="17410" r:id="rId6" name="CarrT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1">
    <tabColor theme="4" tint="-0.249977111117893"/>
  </sheetPr>
  <dimension ref="A1:AF145"/>
  <sheetViews>
    <sheetView showGridLines="0" topLeftCell="H16" zoomScaleNormal="100" workbookViewId="0">
      <selection activeCell="X24" sqref="X24:X26"/>
    </sheetView>
  </sheetViews>
  <sheetFormatPr defaultColWidth="9.140625" defaultRowHeight="12.75" x14ac:dyDescent="0.2"/>
  <cols>
    <col min="1" max="1" width="0.5703125" style="2" customWidth="1"/>
    <col min="2" max="2" width="18" style="2" customWidth="1"/>
    <col min="3" max="3" width="12.140625" style="2" customWidth="1"/>
    <col min="4" max="4" width="8.42578125" style="2" customWidth="1"/>
    <col min="5" max="5" width="13.28515625" style="2" customWidth="1"/>
    <col min="6" max="6" width="13" style="2" customWidth="1"/>
    <col min="7" max="7" width="13.28515625" style="2" customWidth="1"/>
    <col min="8" max="8" width="14" style="2" customWidth="1"/>
    <col min="9" max="9" width="14.5703125" style="2" customWidth="1"/>
    <col min="10" max="10" width="13.28515625" style="2" customWidth="1"/>
    <col min="11" max="11" width="11.7109375" style="2" bestFit="1" customWidth="1"/>
    <col min="12" max="12" width="13.7109375" style="2" customWidth="1"/>
    <col min="13" max="13" width="12.140625" style="2" customWidth="1"/>
    <col min="14" max="14" width="13.5703125" style="2" customWidth="1"/>
    <col min="15" max="15" width="11.85546875" style="2" customWidth="1"/>
    <col min="16" max="19" width="9.140625" style="2"/>
    <col min="20" max="20" width="0.7109375" style="2" customWidth="1"/>
    <col min="21" max="21" width="5.7109375" style="2" customWidth="1"/>
    <col min="22" max="22" width="9.140625" style="2" customWidth="1"/>
    <col min="23" max="23" width="1.140625" style="2" customWidth="1"/>
    <col min="24" max="24" width="11" style="2" customWidth="1"/>
    <col min="25" max="25" width="1.7109375" style="2" customWidth="1"/>
    <col min="26" max="26" width="5.7109375" style="2" customWidth="1"/>
    <col min="27" max="27" width="9.140625" style="2"/>
    <col min="28" max="28" width="0.7109375" style="2" customWidth="1"/>
    <col min="29" max="29" width="10.85546875" style="2" bestFit="1" customWidth="1"/>
    <col min="30" max="16384" width="9.140625" style="2"/>
  </cols>
  <sheetData>
    <row r="1" spans="2:32" x14ac:dyDescent="0.2">
      <c r="B1" s="1" t="s">
        <v>32</v>
      </c>
      <c r="H1" s="22" t="s">
        <v>64</v>
      </c>
    </row>
    <row r="2" spans="2:32" x14ac:dyDescent="0.2">
      <c r="B2" s="1" t="s">
        <v>3218</v>
      </c>
      <c r="C2" s="1"/>
      <c r="G2" s="24" t="s">
        <v>62</v>
      </c>
      <c r="H2" s="9">
        <v>11</v>
      </c>
      <c r="U2" s="749" t="s">
        <v>3584</v>
      </c>
      <c r="V2" s="750"/>
      <c r="W2" s="750"/>
      <c r="X2" s="751"/>
      <c r="Z2" s="749" t="s">
        <v>3585</v>
      </c>
      <c r="AA2" s="750"/>
      <c r="AB2" s="750"/>
      <c r="AC2" s="751"/>
    </row>
    <row r="3" spans="2:32" ht="15" customHeight="1" x14ac:dyDescent="0.2">
      <c r="B3" s="1"/>
      <c r="C3" s="1"/>
      <c r="G3" s="24" t="s">
        <v>63</v>
      </c>
      <c r="H3" s="31">
        <v>44714</v>
      </c>
      <c r="U3" s="678" t="s">
        <v>3586</v>
      </c>
      <c r="V3" s="629"/>
      <c r="X3" s="685">
        <f>J23</f>
        <v>0.75</v>
      </c>
      <c r="Z3" s="678" t="s">
        <v>3586</v>
      </c>
      <c r="AA3" s="629"/>
      <c r="AC3" s="685">
        <f>J25</f>
        <v>0</v>
      </c>
      <c r="AD3" s="340" t="str">
        <f>IF(X3&lt;&gt;AC3,"ALTERA DURANTE HORÁRIO DE VERÃO","MANTÉM NO HORÁRIO DE VERÃO")</f>
        <v>ALTERA DURANTE HORÁRIO DE VERÃO</v>
      </c>
    </row>
    <row r="4" spans="2:32" x14ac:dyDescent="0.2">
      <c r="B4" s="1" t="s">
        <v>3214</v>
      </c>
      <c r="C4" s="1"/>
      <c r="U4" s="506" t="s">
        <v>409</v>
      </c>
      <c r="V4" s="506" t="s">
        <v>3582</v>
      </c>
      <c r="W4" s="681"/>
      <c r="X4" s="506" t="s">
        <v>3583</v>
      </c>
      <c r="Z4" s="506" t="s">
        <v>409</v>
      </c>
      <c r="AA4" s="506" t="s">
        <v>3582</v>
      </c>
      <c r="AB4" s="681"/>
      <c r="AC4" s="506" t="s">
        <v>3583</v>
      </c>
    </row>
    <row r="5" spans="2:32" ht="2.25" customHeight="1" x14ac:dyDescent="0.2">
      <c r="B5" s="1"/>
      <c r="C5" s="1"/>
    </row>
    <row r="6" spans="2:32" s="1" customFormat="1" ht="15" customHeight="1" x14ac:dyDescent="0.2">
      <c r="B6" s="333"/>
      <c r="C6" s="334"/>
      <c r="D6" s="752" t="s">
        <v>3</v>
      </c>
      <c r="E6" s="752"/>
      <c r="F6" s="752"/>
      <c r="G6" s="752"/>
      <c r="H6" s="752"/>
      <c r="I6" s="752"/>
      <c r="J6" s="752"/>
      <c r="K6" s="752"/>
      <c r="L6" s="752"/>
      <c r="M6" s="752"/>
      <c r="N6" s="752"/>
      <c r="U6" s="678">
        <v>1</v>
      </c>
      <c r="V6" s="679">
        <f>TIME(0,MINUTE(X3),0)</f>
        <v>0</v>
      </c>
      <c r="W6" s="682">
        <f>TIME(HOUR(V6),MINUTE(V6),SECOND(V6))</f>
        <v>0</v>
      </c>
      <c r="X6" s="629" t="s">
        <v>555</v>
      </c>
      <c r="Y6" s="2"/>
      <c r="Z6" s="2"/>
      <c r="AA6" s="679">
        <f>TIME(0,MINUTE(AC3),0)</f>
        <v>0</v>
      </c>
      <c r="AC6" s="629" t="s">
        <v>555</v>
      </c>
      <c r="AE6" s="686"/>
    </row>
    <row r="7" spans="2:32" s="1" customFormat="1" x14ac:dyDescent="0.2">
      <c r="B7" s="335"/>
      <c r="C7" s="335"/>
      <c r="D7" s="506" t="s">
        <v>4</v>
      </c>
      <c r="E7" s="506" t="s">
        <v>7</v>
      </c>
      <c r="F7" s="506" t="s">
        <v>8</v>
      </c>
      <c r="G7" s="506" t="s">
        <v>6</v>
      </c>
      <c r="H7" s="506" t="s">
        <v>20</v>
      </c>
      <c r="I7" s="506" t="s">
        <v>20</v>
      </c>
      <c r="J7" s="506" t="s">
        <v>20</v>
      </c>
      <c r="K7" s="506" t="s">
        <v>20</v>
      </c>
      <c r="L7" s="506" t="s">
        <v>20</v>
      </c>
      <c r="M7" s="506" t="s">
        <v>20</v>
      </c>
      <c r="N7" s="506" t="s">
        <v>20</v>
      </c>
      <c r="U7" s="678">
        <v>2</v>
      </c>
      <c r="V7" s="679">
        <f t="shared" ref="V7:V29" si="0">V6+"1:00:00"</f>
        <v>4.1666666666666664E-2</v>
      </c>
      <c r="W7" s="682">
        <f t="shared" ref="W7:W29" si="1">TIME(HOUR(V7),MINUTE(V7),SECOND(V7))</f>
        <v>4.1666666666666664E-2</v>
      </c>
      <c r="X7" s="629" t="s">
        <v>555</v>
      </c>
      <c r="Y7" s="2"/>
      <c r="Z7" s="2"/>
      <c r="AA7" s="679">
        <f t="shared" ref="AA7:AA29" si="2">AA6+"1:00:00"</f>
        <v>4.1666666666666664E-2</v>
      </c>
      <c r="AC7" s="629" t="s">
        <v>555</v>
      </c>
      <c r="AE7" s="682"/>
      <c r="AF7" s="686"/>
    </row>
    <row r="8" spans="2:32" s="1" customFormat="1" x14ac:dyDescent="0.2">
      <c r="B8" s="335"/>
      <c r="C8" s="335"/>
      <c r="D8" s="506"/>
      <c r="E8" s="506"/>
      <c r="F8" s="506"/>
      <c r="G8" s="506"/>
      <c r="H8" s="506" t="s">
        <v>19</v>
      </c>
      <c r="I8" s="506" t="s">
        <v>21</v>
      </c>
      <c r="J8" s="506" t="s">
        <v>22</v>
      </c>
      <c r="K8" s="506" t="s">
        <v>23</v>
      </c>
      <c r="L8" s="506" t="s">
        <v>24</v>
      </c>
      <c r="M8" s="506" t="s">
        <v>25</v>
      </c>
      <c r="N8" s="506" t="s">
        <v>26</v>
      </c>
      <c r="U8" s="678">
        <v>3</v>
      </c>
      <c r="V8" s="679">
        <f t="shared" si="0"/>
        <v>8.3333333333333329E-2</v>
      </c>
      <c r="W8" s="682">
        <f t="shared" si="1"/>
        <v>8.3333333333333329E-2</v>
      </c>
      <c r="X8" s="629" t="s">
        <v>555</v>
      </c>
      <c r="Y8" s="2"/>
      <c r="Z8" s="2"/>
      <c r="AA8" s="679">
        <f t="shared" si="2"/>
        <v>8.3333333333333329E-2</v>
      </c>
      <c r="AC8" s="629" t="s">
        <v>555</v>
      </c>
    </row>
    <row r="9" spans="2:32" x14ac:dyDescent="0.2">
      <c r="B9" s="3" t="s">
        <v>2</v>
      </c>
      <c r="C9" s="15" t="s">
        <v>34</v>
      </c>
      <c r="D9" s="5"/>
      <c r="E9" s="5"/>
      <c r="F9" s="5"/>
      <c r="G9" s="712">
        <v>82</v>
      </c>
      <c r="H9" s="5"/>
      <c r="I9" s="712">
        <v>29918</v>
      </c>
      <c r="J9" s="712">
        <v>11</v>
      </c>
      <c r="K9" s="5"/>
      <c r="L9" s="712">
        <v>2901</v>
      </c>
      <c r="M9" s="5"/>
      <c r="N9" s="5"/>
      <c r="U9" s="678">
        <v>4</v>
      </c>
      <c r="V9" s="679">
        <f t="shared" si="0"/>
        <v>0.125</v>
      </c>
      <c r="W9" s="682">
        <f t="shared" si="1"/>
        <v>0.125</v>
      </c>
      <c r="X9" s="629" t="s">
        <v>555</v>
      </c>
      <c r="AA9" s="679">
        <f t="shared" si="2"/>
        <v>0.125</v>
      </c>
      <c r="AC9" s="629" t="s">
        <v>555</v>
      </c>
      <c r="AE9" s="687"/>
    </row>
    <row r="10" spans="2:32" x14ac:dyDescent="0.2">
      <c r="B10" s="3" t="s">
        <v>1</v>
      </c>
      <c r="C10" s="15" t="s">
        <v>34</v>
      </c>
      <c r="D10" s="6"/>
      <c r="E10" s="6"/>
      <c r="F10" s="6"/>
      <c r="G10" s="713">
        <v>82</v>
      </c>
      <c r="H10" s="6"/>
      <c r="I10" s="713">
        <v>267</v>
      </c>
      <c r="J10" s="713">
        <v>11</v>
      </c>
      <c r="K10" s="6"/>
      <c r="L10" s="713">
        <v>145</v>
      </c>
      <c r="M10" s="6"/>
      <c r="N10" s="666">
        <v>1</v>
      </c>
      <c r="U10" s="678">
        <v>5</v>
      </c>
      <c r="V10" s="679">
        <f t="shared" si="0"/>
        <v>0.16666666666666666</v>
      </c>
      <c r="W10" s="682">
        <f t="shared" si="1"/>
        <v>0.16666666666666666</v>
      </c>
      <c r="X10" s="629" t="s">
        <v>555</v>
      </c>
      <c r="AA10" s="679">
        <f t="shared" si="2"/>
        <v>0.16666666666666666</v>
      </c>
      <c r="AC10" s="629" t="s">
        <v>555</v>
      </c>
    </row>
    <row r="11" spans="2:32" x14ac:dyDescent="0.2">
      <c r="B11" s="3" t="s">
        <v>5</v>
      </c>
      <c r="C11" s="15" t="s">
        <v>33</v>
      </c>
      <c r="D11" s="6"/>
      <c r="E11" s="6"/>
      <c r="F11" s="6"/>
      <c r="G11" s="713">
        <v>9</v>
      </c>
      <c r="H11" s="6"/>
      <c r="I11" s="713">
        <v>13</v>
      </c>
      <c r="J11" s="713">
        <v>3</v>
      </c>
      <c r="K11" s="6"/>
      <c r="L11" s="713">
        <v>14</v>
      </c>
      <c r="M11" s="6"/>
      <c r="N11" s="666">
        <v>1</v>
      </c>
      <c r="U11" s="678">
        <v>6</v>
      </c>
      <c r="V11" s="679">
        <f t="shared" si="0"/>
        <v>0.20833333333333331</v>
      </c>
      <c r="W11" s="682">
        <f t="shared" si="1"/>
        <v>0.20833333333333334</v>
      </c>
      <c r="X11" s="629" t="s">
        <v>555</v>
      </c>
      <c r="AA11" s="679">
        <f t="shared" si="2"/>
        <v>0.20833333333333331</v>
      </c>
      <c r="AC11" s="629" t="s">
        <v>555</v>
      </c>
    </row>
    <row r="12" spans="2:32" x14ac:dyDescent="0.2">
      <c r="U12" s="678">
        <v>7</v>
      </c>
      <c r="V12" s="679">
        <f t="shared" si="0"/>
        <v>0.24999999999999997</v>
      </c>
      <c r="W12" s="682">
        <f t="shared" si="1"/>
        <v>0.25</v>
      </c>
      <c r="X12" s="629" t="s">
        <v>555</v>
      </c>
      <c r="AA12" s="679">
        <f t="shared" si="2"/>
        <v>0.24999999999999997</v>
      </c>
      <c r="AC12" s="629" t="s">
        <v>555</v>
      </c>
    </row>
    <row r="13" spans="2:32" x14ac:dyDescent="0.2">
      <c r="B13" s="335"/>
      <c r="C13" s="336"/>
      <c r="D13" s="736" t="s">
        <v>13</v>
      </c>
      <c r="E13" s="736"/>
      <c r="F13" s="736"/>
      <c r="G13" s="736"/>
      <c r="H13" s="736"/>
      <c r="I13" s="736"/>
      <c r="J13" s="736"/>
      <c r="K13" s="736"/>
      <c r="L13" s="736"/>
      <c r="M13" s="736"/>
      <c r="N13" s="736"/>
      <c r="U13" s="678">
        <v>8</v>
      </c>
      <c r="V13" s="679">
        <f t="shared" si="0"/>
        <v>0.29166666666666663</v>
      </c>
      <c r="W13" s="682">
        <f t="shared" si="1"/>
        <v>0.29166666666666669</v>
      </c>
      <c r="X13" s="629" t="s">
        <v>555</v>
      </c>
      <c r="AA13" s="679">
        <f t="shared" si="2"/>
        <v>0.29166666666666663</v>
      </c>
      <c r="AC13" s="629" t="s">
        <v>555</v>
      </c>
    </row>
    <row r="14" spans="2:32" x14ac:dyDescent="0.2">
      <c r="B14" s="335"/>
      <c r="C14" s="335"/>
      <c r="D14" s="506" t="s">
        <v>11</v>
      </c>
      <c r="E14" s="506" t="s">
        <v>12</v>
      </c>
      <c r="F14" s="506" t="s">
        <v>9</v>
      </c>
      <c r="G14" s="506" t="s">
        <v>10</v>
      </c>
      <c r="H14" s="506" t="s">
        <v>14</v>
      </c>
      <c r="I14" s="506" t="s">
        <v>15</v>
      </c>
      <c r="J14" s="506" t="s">
        <v>16</v>
      </c>
      <c r="K14" s="506" t="s">
        <v>0</v>
      </c>
      <c r="L14" s="736" t="s">
        <v>18</v>
      </c>
      <c r="M14" s="736"/>
      <c r="N14" s="736"/>
      <c r="U14" s="678">
        <v>9</v>
      </c>
      <c r="V14" s="679">
        <f t="shared" si="0"/>
        <v>0.33333333333333331</v>
      </c>
      <c r="W14" s="682">
        <f t="shared" si="1"/>
        <v>0.33333333333333331</v>
      </c>
      <c r="X14" s="629" t="s">
        <v>555</v>
      </c>
      <c r="AA14" s="679">
        <f t="shared" si="2"/>
        <v>0.33333333333333331</v>
      </c>
      <c r="AC14" s="629" t="s">
        <v>555</v>
      </c>
    </row>
    <row r="15" spans="2:32" x14ac:dyDescent="0.2">
      <c r="B15" s="335"/>
      <c r="C15" s="335"/>
      <c r="D15" s="506"/>
      <c r="E15" s="506"/>
      <c r="F15" s="506"/>
      <c r="G15" s="506"/>
      <c r="H15" s="506"/>
      <c r="I15" s="506"/>
      <c r="J15" s="506"/>
      <c r="K15" s="506"/>
      <c r="L15" s="7" t="s">
        <v>17</v>
      </c>
      <c r="M15" s="7" t="s">
        <v>17</v>
      </c>
      <c r="N15" s="7" t="s">
        <v>17</v>
      </c>
      <c r="U15" s="678">
        <v>10</v>
      </c>
      <c r="V15" s="679">
        <f t="shared" si="0"/>
        <v>0.375</v>
      </c>
      <c r="W15" s="682">
        <f t="shared" si="1"/>
        <v>0.375</v>
      </c>
      <c r="X15" s="629" t="s">
        <v>555</v>
      </c>
      <c r="AA15" s="679">
        <f t="shared" si="2"/>
        <v>0.375</v>
      </c>
      <c r="AC15" s="629" t="s">
        <v>555</v>
      </c>
    </row>
    <row r="16" spans="2:32" x14ac:dyDescent="0.2">
      <c r="B16" s="3" t="s">
        <v>2</v>
      </c>
      <c r="C16" s="15" t="s">
        <v>34</v>
      </c>
      <c r="D16" s="5"/>
      <c r="E16" s="712">
        <v>1</v>
      </c>
      <c r="F16" s="712">
        <v>5</v>
      </c>
      <c r="G16" s="5"/>
      <c r="H16" s="5"/>
      <c r="I16" s="5"/>
      <c r="J16" s="5">
        <v>1</v>
      </c>
      <c r="K16" s="712">
        <v>747</v>
      </c>
      <c r="L16" s="5"/>
      <c r="M16" s="5"/>
      <c r="N16" s="5"/>
      <c r="U16" s="678">
        <v>11</v>
      </c>
      <c r="V16" s="679">
        <f t="shared" si="0"/>
        <v>0.41666666666666669</v>
      </c>
      <c r="W16" s="682">
        <f t="shared" si="1"/>
        <v>0.41666666666666669</v>
      </c>
      <c r="X16" s="629" t="s">
        <v>555</v>
      </c>
      <c r="AA16" s="679">
        <f t="shared" si="2"/>
        <v>0.41666666666666669</v>
      </c>
      <c r="AC16" s="629" t="s">
        <v>555</v>
      </c>
    </row>
    <row r="17" spans="1:29" x14ac:dyDescent="0.2">
      <c r="B17" s="3" t="s">
        <v>1</v>
      </c>
      <c r="C17" s="15" t="s">
        <v>34</v>
      </c>
      <c r="D17" s="5"/>
      <c r="E17" s="712">
        <v>1</v>
      </c>
      <c r="F17" s="712">
        <v>5</v>
      </c>
      <c r="G17" s="5"/>
      <c r="H17" s="5"/>
      <c r="I17" s="5"/>
      <c r="J17" s="5">
        <v>1</v>
      </c>
      <c r="K17" s="712">
        <v>39</v>
      </c>
      <c r="L17" s="5"/>
      <c r="M17" s="5"/>
      <c r="N17" s="5"/>
      <c r="U17" s="678">
        <v>12</v>
      </c>
      <c r="V17" s="679">
        <f t="shared" si="0"/>
        <v>0.45833333333333337</v>
      </c>
      <c r="W17" s="682">
        <f t="shared" si="1"/>
        <v>0.45833333333333331</v>
      </c>
      <c r="X17" s="629" t="s">
        <v>555</v>
      </c>
      <c r="AA17" s="679">
        <f t="shared" si="2"/>
        <v>0.45833333333333337</v>
      </c>
      <c r="AC17" s="629" t="s">
        <v>555</v>
      </c>
    </row>
    <row r="18" spans="1:29" x14ac:dyDescent="0.2">
      <c r="B18" s="3" t="s">
        <v>5</v>
      </c>
      <c r="C18" s="15" t="s">
        <v>33</v>
      </c>
      <c r="D18" s="5"/>
      <c r="E18" s="712">
        <v>1</v>
      </c>
      <c r="F18" s="712">
        <v>4</v>
      </c>
      <c r="G18" s="5"/>
      <c r="H18" s="5"/>
      <c r="I18" s="5"/>
      <c r="J18" s="5">
        <v>1</v>
      </c>
      <c r="K18" s="712">
        <v>10</v>
      </c>
      <c r="L18" s="5"/>
      <c r="M18" s="5"/>
      <c r="N18" s="5"/>
      <c r="U18" s="678">
        <v>13</v>
      </c>
      <c r="V18" s="679">
        <f t="shared" si="0"/>
        <v>0.5</v>
      </c>
      <c r="W18" s="682">
        <f t="shared" si="1"/>
        <v>0.5</v>
      </c>
      <c r="X18" s="629" t="s">
        <v>555</v>
      </c>
      <c r="AA18" s="679">
        <f t="shared" si="2"/>
        <v>0.5</v>
      </c>
      <c r="AC18" s="629" t="s">
        <v>555</v>
      </c>
    </row>
    <row r="19" spans="1:29" x14ac:dyDescent="0.2">
      <c r="U19" s="678">
        <v>14</v>
      </c>
      <c r="V19" s="679">
        <f t="shared" si="0"/>
        <v>0.54166666666666663</v>
      </c>
      <c r="W19" s="682">
        <f t="shared" si="1"/>
        <v>0.54166666666666663</v>
      </c>
      <c r="X19" s="629" t="s">
        <v>555</v>
      </c>
      <c r="AA19" s="679">
        <f t="shared" si="2"/>
        <v>0.54166666666666663</v>
      </c>
      <c r="AC19" s="629" t="s">
        <v>555</v>
      </c>
    </row>
    <row r="20" spans="1:29" x14ac:dyDescent="0.2">
      <c r="B20" s="1" t="s">
        <v>3215</v>
      </c>
      <c r="C20" s="1"/>
      <c r="I20" s="1" t="s">
        <v>3216</v>
      </c>
      <c r="U20" s="678">
        <v>15</v>
      </c>
      <c r="V20" s="679">
        <f t="shared" si="0"/>
        <v>0.58333333333333326</v>
      </c>
      <c r="W20" s="682">
        <f t="shared" si="1"/>
        <v>0.58333333333333337</v>
      </c>
      <c r="X20" s="629" t="s">
        <v>555</v>
      </c>
      <c r="AA20" s="679">
        <f t="shared" si="2"/>
        <v>0.58333333333333326</v>
      </c>
      <c r="AC20" s="629" t="s">
        <v>555</v>
      </c>
    </row>
    <row r="21" spans="1:29" x14ac:dyDescent="0.2">
      <c r="B21" s="749"/>
      <c r="C21" s="750"/>
      <c r="D21" s="751"/>
      <c r="E21" s="506" t="s">
        <v>29</v>
      </c>
      <c r="F21" s="739" t="s">
        <v>35</v>
      </c>
      <c r="G21" s="740"/>
      <c r="I21" s="506"/>
      <c r="J21" s="736" t="s">
        <v>38</v>
      </c>
      <c r="K21" s="736"/>
      <c r="L21" s="736" t="s">
        <v>41</v>
      </c>
      <c r="M21" s="736"/>
      <c r="N21" s="736" t="s">
        <v>42</v>
      </c>
      <c r="O21" s="736"/>
      <c r="P21" s="736" t="s">
        <v>44</v>
      </c>
      <c r="Q21" s="736"/>
      <c r="R21" s="736" t="s">
        <v>45</v>
      </c>
      <c r="S21" s="736"/>
      <c r="T21" s="22"/>
      <c r="U21" s="678">
        <v>16</v>
      </c>
      <c r="V21" s="679">
        <f t="shared" si="0"/>
        <v>0.62499999999999989</v>
      </c>
      <c r="W21" s="682">
        <f t="shared" si="1"/>
        <v>0.625</v>
      </c>
      <c r="X21" s="629" t="s">
        <v>555</v>
      </c>
      <c r="AA21" s="679">
        <f t="shared" si="2"/>
        <v>0.62499999999999989</v>
      </c>
      <c r="AC21" s="629" t="s">
        <v>555</v>
      </c>
    </row>
    <row r="22" spans="1:29" x14ac:dyDescent="0.2">
      <c r="B22" s="737" t="s">
        <v>27</v>
      </c>
      <c r="C22" s="737"/>
      <c r="D22" s="737"/>
      <c r="E22" s="8"/>
      <c r="F22" s="746"/>
      <c r="G22" s="746"/>
      <c r="I22" s="506"/>
      <c r="J22" s="506" t="s">
        <v>39</v>
      </c>
      <c r="K22" s="506" t="s">
        <v>40</v>
      </c>
      <c r="L22" s="506" t="s">
        <v>39</v>
      </c>
      <c r="M22" s="506" t="s">
        <v>40</v>
      </c>
      <c r="N22" s="506" t="s">
        <v>39</v>
      </c>
      <c r="O22" s="506" t="s">
        <v>40</v>
      </c>
      <c r="P22" s="506" t="s">
        <v>39</v>
      </c>
      <c r="Q22" s="506" t="s">
        <v>40</v>
      </c>
      <c r="R22" s="506" t="s">
        <v>39</v>
      </c>
      <c r="S22" s="506" t="s">
        <v>40</v>
      </c>
      <c r="U22" s="678">
        <v>17</v>
      </c>
      <c r="V22" s="679">
        <f t="shared" si="0"/>
        <v>0.66666666666666652</v>
      </c>
      <c r="W22" s="682">
        <f t="shared" si="1"/>
        <v>0.66666666666666663</v>
      </c>
      <c r="X22" s="629" t="s">
        <v>555</v>
      </c>
      <c r="AA22" s="679">
        <f t="shared" si="2"/>
        <v>0.66666666666666652</v>
      </c>
      <c r="AC22" s="629" t="s">
        <v>555</v>
      </c>
    </row>
    <row r="23" spans="1:29" x14ac:dyDescent="0.2">
      <c r="B23" s="737" t="s">
        <v>28</v>
      </c>
      <c r="C23" s="737"/>
      <c r="D23" s="737"/>
      <c r="E23" s="8"/>
      <c r="F23" s="746"/>
      <c r="G23" s="746"/>
      <c r="I23" s="12" t="s">
        <v>36</v>
      </c>
      <c r="J23" s="14">
        <v>0.75</v>
      </c>
      <c r="K23" s="342">
        <f>J23+J24</f>
        <v>0.875</v>
      </c>
      <c r="L23" s="13">
        <v>0.70833333333333337</v>
      </c>
      <c r="M23" s="13">
        <v>0.75</v>
      </c>
      <c r="N23" s="13">
        <v>0.875</v>
      </c>
      <c r="O23" s="13">
        <v>0.91666666666666663</v>
      </c>
      <c r="P23" s="343">
        <f>K23</f>
        <v>0.875</v>
      </c>
      <c r="Q23" s="343">
        <f>J23</f>
        <v>0.75</v>
      </c>
      <c r="R23" s="613">
        <v>0.91666666666666663</v>
      </c>
      <c r="S23" s="613">
        <v>0.70833333333333337</v>
      </c>
      <c r="U23" s="678">
        <v>18</v>
      </c>
      <c r="V23" s="679">
        <f t="shared" si="0"/>
        <v>0.70833333333333315</v>
      </c>
      <c r="W23" s="682">
        <f t="shared" si="1"/>
        <v>0.70833333333333337</v>
      </c>
      <c r="X23" s="629" t="s">
        <v>3608</v>
      </c>
      <c r="AA23" s="679">
        <f t="shared" si="2"/>
        <v>0.70833333333333315</v>
      </c>
      <c r="AC23" s="629" t="s">
        <v>555</v>
      </c>
    </row>
    <row r="24" spans="1:29" x14ac:dyDescent="0.2">
      <c r="B24" s="737" t="s">
        <v>31</v>
      </c>
      <c r="C24" s="737"/>
      <c r="D24" s="737"/>
      <c r="E24" s="8"/>
      <c r="F24" s="746"/>
      <c r="G24" s="746"/>
      <c r="I24" s="693">
        <f>J24+L24+N24+R24</f>
        <v>1</v>
      </c>
      <c r="J24" s="730">
        <v>0.125</v>
      </c>
      <c r="K24" s="731"/>
      <c r="L24" s="728">
        <f>M23-L23</f>
        <v>4.166666666666663E-2</v>
      </c>
      <c r="M24" s="729"/>
      <c r="N24" s="728">
        <f>O23-N23</f>
        <v>4.166666666666663E-2</v>
      </c>
      <c r="O24" s="729"/>
      <c r="P24" s="728">
        <f>"24:00"-(J24)</f>
        <v>0.875</v>
      </c>
      <c r="Q24" s="729"/>
      <c r="R24" s="728">
        <f>"24:00"-R23+S23</f>
        <v>0.79166666666666674</v>
      </c>
      <c r="S24" s="729"/>
      <c r="U24" s="678">
        <v>19</v>
      </c>
      <c r="V24" s="679">
        <f t="shared" si="0"/>
        <v>0.74999999999999978</v>
      </c>
      <c r="W24" s="682">
        <f t="shared" si="1"/>
        <v>0.75</v>
      </c>
      <c r="X24" s="629" t="s">
        <v>549</v>
      </c>
      <c r="AA24" s="679">
        <f t="shared" si="2"/>
        <v>0.74999999999999978</v>
      </c>
      <c r="AC24" s="629" t="s">
        <v>555</v>
      </c>
    </row>
    <row r="25" spans="1:29" x14ac:dyDescent="0.2">
      <c r="B25" s="738" t="s">
        <v>30</v>
      </c>
      <c r="C25" s="738"/>
      <c r="D25" s="738"/>
      <c r="E25" s="4">
        <f>SUM(E22:E24)</f>
        <v>0</v>
      </c>
      <c r="F25" s="747"/>
      <c r="G25" s="748"/>
      <c r="I25" s="12" t="s">
        <v>37</v>
      </c>
      <c r="J25" s="14">
        <v>0</v>
      </c>
      <c r="K25" s="342">
        <f>J25+J26</f>
        <v>0.125</v>
      </c>
      <c r="L25" s="13">
        <v>0</v>
      </c>
      <c r="M25" s="13">
        <v>0</v>
      </c>
      <c r="N25" s="13">
        <v>0</v>
      </c>
      <c r="O25" s="13">
        <v>0</v>
      </c>
      <c r="P25" s="343">
        <f>K25</f>
        <v>0.125</v>
      </c>
      <c r="Q25" s="343">
        <f>J25</f>
        <v>0</v>
      </c>
      <c r="R25" s="613">
        <v>0</v>
      </c>
      <c r="S25" s="613">
        <v>0</v>
      </c>
      <c r="U25" s="678">
        <v>20</v>
      </c>
      <c r="V25" s="679">
        <f t="shared" si="0"/>
        <v>0.79166666666666641</v>
      </c>
      <c r="W25" s="682">
        <f t="shared" si="1"/>
        <v>0.79166666666666663</v>
      </c>
      <c r="X25" s="629" t="s">
        <v>549</v>
      </c>
      <c r="AA25" s="679">
        <f t="shared" si="2"/>
        <v>0.79166666666666641</v>
      </c>
      <c r="AC25" s="629" t="s">
        <v>555</v>
      </c>
    </row>
    <row r="26" spans="1:29" x14ac:dyDescent="0.2">
      <c r="I26" s="693">
        <f>J26+L26+N26+R26</f>
        <v>1</v>
      </c>
      <c r="J26" s="730">
        <v>0.125</v>
      </c>
      <c r="K26" s="731"/>
      <c r="L26" s="728">
        <f>M25-L25</f>
        <v>0</v>
      </c>
      <c r="M26" s="729"/>
      <c r="N26" s="728">
        <f>O25-N25</f>
        <v>0</v>
      </c>
      <c r="O26" s="729"/>
      <c r="P26" s="728">
        <f>"24:00"-(J26)</f>
        <v>0.875</v>
      </c>
      <c r="Q26" s="729"/>
      <c r="R26" s="728">
        <f>"24:00"-J26-L26-N26</f>
        <v>0.875</v>
      </c>
      <c r="S26" s="729"/>
      <c r="U26" s="678">
        <v>21</v>
      </c>
      <c r="V26" s="679">
        <f t="shared" si="0"/>
        <v>0.83333333333333304</v>
      </c>
      <c r="W26" s="682">
        <f t="shared" si="1"/>
        <v>0.83333333333333337</v>
      </c>
      <c r="X26" s="629" t="s">
        <v>549</v>
      </c>
      <c r="AA26" s="679">
        <f t="shared" si="2"/>
        <v>0.83333333333333304</v>
      </c>
      <c r="AC26" s="629" t="s">
        <v>555</v>
      </c>
    </row>
    <row r="27" spans="1:29" x14ac:dyDescent="0.2">
      <c r="I27" s="40"/>
      <c r="J27" s="41"/>
      <c r="K27" s="41"/>
      <c r="L27" s="41"/>
      <c r="M27" s="41"/>
      <c r="N27" s="41"/>
      <c r="O27" s="41"/>
      <c r="P27" s="41"/>
      <c r="Q27" s="41"/>
      <c r="R27" s="41"/>
      <c r="S27" s="41"/>
      <c r="U27" s="678">
        <v>22</v>
      </c>
      <c r="V27" s="679">
        <f t="shared" si="0"/>
        <v>0.87499999999999967</v>
      </c>
      <c r="W27" s="682">
        <f t="shared" si="1"/>
        <v>0.875</v>
      </c>
      <c r="X27" s="629" t="s">
        <v>3608</v>
      </c>
      <c r="AA27" s="679">
        <f t="shared" si="2"/>
        <v>0.87499999999999967</v>
      </c>
      <c r="AC27" s="629" t="s">
        <v>555</v>
      </c>
    </row>
    <row r="28" spans="1:29" x14ac:dyDescent="0.2">
      <c r="B28" s="337"/>
      <c r="C28" s="337"/>
      <c r="D28" s="337"/>
      <c r="E28" s="337"/>
      <c r="F28" s="337"/>
      <c r="G28" s="337"/>
      <c r="H28" s="337"/>
      <c r="I28" s="338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U28" s="678">
        <v>23</v>
      </c>
      <c r="V28" s="679">
        <f t="shared" si="0"/>
        <v>0.9166666666666663</v>
      </c>
      <c r="W28" s="682">
        <f t="shared" si="1"/>
        <v>0.91666666666666663</v>
      </c>
      <c r="X28" s="629" t="s">
        <v>555</v>
      </c>
      <c r="AA28" s="679">
        <f t="shared" si="2"/>
        <v>0.9166666666666663</v>
      </c>
      <c r="AC28" s="629" t="s">
        <v>555</v>
      </c>
    </row>
    <row r="29" spans="1:29" x14ac:dyDescent="0.2">
      <c r="B29" s="522" t="s">
        <v>3217</v>
      </c>
      <c r="C29" s="523"/>
      <c r="D29" s="523"/>
      <c r="E29" s="523"/>
      <c r="F29" s="523"/>
      <c r="G29" s="523"/>
      <c r="H29" s="523"/>
      <c r="I29" s="524"/>
      <c r="J29" s="525"/>
      <c r="K29" s="525"/>
      <c r="L29" s="525"/>
      <c r="M29" s="525"/>
      <c r="N29" s="525"/>
      <c r="O29" s="525"/>
      <c r="P29" s="525"/>
      <c r="Q29" s="525"/>
      <c r="R29" s="525"/>
      <c r="S29" s="525"/>
      <c r="U29" s="678">
        <v>24</v>
      </c>
      <c r="V29" s="679">
        <f t="shared" si="0"/>
        <v>0.95833333333333293</v>
      </c>
      <c r="W29" s="682">
        <f t="shared" si="1"/>
        <v>0.95833333333333337</v>
      </c>
      <c r="X29" s="629" t="s">
        <v>555</v>
      </c>
      <c r="AA29" s="679">
        <f t="shared" si="2"/>
        <v>0.95833333333333293</v>
      </c>
      <c r="AC29" s="629" t="s">
        <v>555</v>
      </c>
    </row>
    <row r="30" spans="1:29" x14ac:dyDescent="0.2">
      <c r="A30" s="523"/>
      <c r="B30" s="523"/>
      <c r="C30" s="523"/>
      <c r="D30" s="523"/>
      <c r="E30" s="523"/>
      <c r="F30" s="523"/>
      <c r="G30" s="523"/>
      <c r="H30" s="523"/>
      <c r="I30" s="524"/>
      <c r="J30" s="525"/>
      <c r="K30" s="525"/>
      <c r="L30" s="525"/>
      <c r="M30" s="525"/>
      <c r="N30" s="525"/>
      <c r="O30" s="525"/>
      <c r="P30" s="525"/>
      <c r="Q30" s="525"/>
      <c r="R30" s="525"/>
      <c r="S30" s="525"/>
      <c r="V30" s="1"/>
      <c r="W30" s="1"/>
    </row>
    <row r="31" spans="1:29" x14ac:dyDescent="0.2">
      <c r="A31" s="523"/>
      <c r="B31" s="522" t="s">
        <v>109</v>
      </c>
      <c r="C31" s="523"/>
      <c r="D31" s="523"/>
      <c r="E31" s="523"/>
      <c r="F31" s="522" t="s">
        <v>125</v>
      </c>
      <c r="G31" s="523"/>
      <c r="H31" s="523"/>
      <c r="I31" s="522" t="s">
        <v>124</v>
      </c>
      <c r="J31" s="523"/>
      <c r="K31" s="523"/>
      <c r="L31" s="522" t="s">
        <v>130</v>
      </c>
      <c r="M31" s="523"/>
      <c r="N31" s="523"/>
      <c r="O31" s="522" t="s">
        <v>131</v>
      </c>
      <c r="P31" s="523"/>
      <c r="Q31" s="523"/>
      <c r="R31" s="523"/>
      <c r="S31" s="523"/>
      <c r="V31" s="1"/>
      <c r="W31" s="1"/>
    </row>
    <row r="32" spans="1:29" ht="25.5" x14ac:dyDescent="0.2">
      <c r="A32" s="523"/>
      <c r="B32" s="24" t="s">
        <v>3386</v>
      </c>
      <c r="C32" s="24" t="s">
        <v>118</v>
      </c>
      <c r="D32" s="523"/>
      <c r="E32" s="523"/>
      <c r="F32" s="726" t="s">
        <v>121</v>
      </c>
      <c r="G32" s="39" t="s">
        <v>119</v>
      </c>
      <c r="H32" s="523"/>
      <c r="I32" s="726" t="s">
        <v>121</v>
      </c>
      <c r="J32" s="39" t="s">
        <v>119</v>
      </c>
      <c r="K32" s="523"/>
      <c r="L32" s="726" t="s">
        <v>121</v>
      </c>
      <c r="M32" s="39" t="s">
        <v>119</v>
      </c>
      <c r="N32" s="523"/>
      <c r="O32" s="726" t="s">
        <v>121</v>
      </c>
      <c r="P32" s="39" t="s">
        <v>119</v>
      </c>
      <c r="Q32" s="523"/>
      <c r="R32" s="523"/>
      <c r="S32" s="523"/>
    </row>
    <row r="33" spans="1:19" x14ac:dyDescent="0.2">
      <c r="A33" s="523"/>
      <c r="B33" s="24"/>
      <c r="C33" s="24" t="s">
        <v>110</v>
      </c>
      <c r="D33" s="523"/>
      <c r="E33" s="523"/>
      <c r="F33" s="727"/>
      <c r="G33" s="36" t="s">
        <v>110</v>
      </c>
      <c r="H33" s="523"/>
      <c r="I33" s="727"/>
      <c r="J33" s="36" t="s">
        <v>110</v>
      </c>
      <c r="K33" s="523"/>
      <c r="L33" s="727"/>
      <c r="M33" s="36" t="s">
        <v>110</v>
      </c>
      <c r="N33" s="523"/>
      <c r="O33" s="727"/>
      <c r="P33" s="36" t="s">
        <v>110</v>
      </c>
      <c r="Q33" s="523"/>
      <c r="R33" s="523"/>
      <c r="S33" s="523"/>
    </row>
    <row r="34" spans="1:19" x14ac:dyDescent="0.2">
      <c r="A34" s="523"/>
      <c r="B34" s="3" t="s">
        <v>111</v>
      </c>
      <c r="C34" s="660"/>
      <c r="D34" s="523"/>
      <c r="E34" s="523"/>
      <c r="F34" s="3" t="s">
        <v>122</v>
      </c>
      <c r="G34" s="660"/>
      <c r="H34" s="523"/>
      <c r="I34" s="3" t="s">
        <v>127</v>
      </c>
      <c r="J34" s="660">
        <v>8.6203837890624992</v>
      </c>
      <c r="K34" s="523"/>
      <c r="L34" s="3" t="s">
        <v>136</v>
      </c>
      <c r="M34" s="660">
        <v>17.507029052734374</v>
      </c>
      <c r="N34" s="523"/>
      <c r="O34" s="3" t="s">
        <v>133</v>
      </c>
      <c r="P34" s="660"/>
      <c r="Q34" s="523"/>
      <c r="R34" s="523"/>
      <c r="S34" s="523"/>
    </row>
    <row r="35" spans="1:19" x14ac:dyDescent="0.2">
      <c r="A35" s="523"/>
      <c r="B35" s="3" t="s">
        <v>112</v>
      </c>
      <c r="C35" s="660">
        <v>7.8986938476562498</v>
      </c>
      <c r="D35" s="523"/>
      <c r="E35" s="523"/>
      <c r="F35" s="3" t="s">
        <v>123</v>
      </c>
      <c r="G35" s="660"/>
      <c r="H35" s="523"/>
      <c r="I35" s="3" t="s">
        <v>128</v>
      </c>
      <c r="J35" s="660"/>
      <c r="K35" s="523"/>
      <c r="L35" s="3" t="s">
        <v>137</v>
      </c>
      <c r="M35" s="660"/>
      <c r="N35" s="523"/>
      <c r="O35" s="3" t="s">
        <v>134</v>
      </c>
      <c r="P35" s="660">
        <v>23.952288074562041</v>
      </c>
      <c r="Q35" s="523"/>
      <c r="R35" s="523"/>
      <c r="S35" s="523"/>
    </row>
    <row r="36" spans="1:19" x14ac:dyDescent="0.2">
      <c r="A36" s="523"/>
      <c r="B36" s="3" t="s">
        <v>113</v>
      </c>
      <c r="C36" s="660">
        <v>17.507029052734374</v>
      </c>
      <c r="D36" s="523"/>
      <c r="E36" s="523"/>
      <c r="F36" s="3"/>
      <c r="G36" s="660"/>
      <c r="H36" s="523"/>
      <c r="I36" s="3" t="s">
        <v>129</v>
      </c>
      <c r="J36" s="660"/>
      <c r="K36" s="523"/>
      <c r="L36" s="3" t="s">
        <v>138</v>
      </c>
      <c r="M36" s="660">
        <v>7.8986938476562498</v>
      </c>
      <c r="N36" s="523"/>
      <c r="O36" s="3"/>
      <c r="P36" s="660"/>
      <c r="Q36" s="523"/>
      <c r="R36" s="523"/>
      <c r="S36" s="523"/>
    </row>
    <row r="37" spans="1:19" x14ac:dyDescent="0.2">
      <c r="A37" s="523"/>
      <c r="B37" s="3" t="s">
        <v>114</v>
      </c>
      <c r="C37" s="660"/>
      <c r="D37" s="523"/>
      <c r="E37" s="523"/>
      <c r="F37" s="3"/>
      <c r="G37" s="660"/>
      <c r="H37" s="523"/>
      <c r="I37" s="3"/>
      <c r="J37" s="660"/>
      <c r="K37" s="523"/>
      <c r="L37" s="3" t="s">
        <v>139</v>
      </c>
      <c r="M37" s="660"/>
      <c r="N37" s="523"/>
      <c r="O37" s="3"/>
      <c r="P37" s="660"/>
      <c r="Q37" s="523"/>
      <c r="R37" s="523"/>
      <c r="S37" s="523"/>
    </row>
    <row r="38" spans="1:19" x14ac:dyDescent="0.2">
      <c r="A38" s="523"/>
      <c r="B38" s="12" t="s">
        <v>53</v>
      </c>
      <c r="C38" s="37">
        <f>SUM(C34:C37)</f>
        <v>25.405722900390625</v>
      </c>
      <c r="D38" s="523"/>
      <c r="E38" s="523"/>
      <c r="F38" s="12" t="s">
        <v>120</v>
      </c>
      <c r="G38" s="37">
        <f>SUM(G34:G37)</f>
        <v>0</v>
      </c>
      <c r="H38" s="523"/>
      <c r="I38" s="12" t="s">
        <v>126</v>
      </c>
      <c r="J38" s="37">
        <f>SUM(J34:J37)</f>
        <v>8.6203837890624992</v>
      </c>
      <c r="K38" s="523"/>
      <c r="L38" s="12" t="s">
        <v>135</v>
      </c>
      <c r="M38" s="37">
        <f>SUM(M34:M37)</f>
        <v>25.405722900390625</v>
      </c>
      <c r="N38" s="523"/>
      <c r="O38" s="12" t="s">
        <v>132</v>
      </c>
      <c r="P38" s="37">
        <f>SUM(P34:P37)</f>
        <v>23.952288074562041</v>
      </c>
      <c r="Q38" s="523"/>
      <c r="R38" s="523"/>
      <c r="S38" s="523"/>
    </row>
    <row r="39" spans="1:19" ht="3.75" customHeight="1" x14ac:dyDescent="0.2">
      <c r="A39" s="523"/>
      <c r="B39" s="1"/>
      <c r="C39" s="35"/>
      <c r="D39" s="523"/>
      <c r="E39" s="523"/>
      <c r="F39" s="38"/>
      <c r="H39" s="523"/>
      <c r="I39" s="38"/>
      <c r="K39" s="523"/>
      <c r="L39" s="38"/>
      <c r="N39" s="523"/>
      <c r="O39" s="38"/>
      <c r="Q39" s="523"/>
      <c r="R39" s="523"/>
      <c r="S39" s="523"/>
    </row>
    <row r="40" spans="1:19" x14ac:dyDescent="0.2">
      <c r="A40" s="523"/>
      <c r="B40" s="36" t="s">
        <v>115</v>
      </c>
      <c r="C40" s="36" t="s">
        <v>116</v>
      </c>
      <c r="D40" s="523"/>
      <c r="E40" s="523"/>
      <c r="F40" s="36" t="s">
        <v>115</v>
      </c>
      <c r="G40" s="36" t="s">
        <v>116</v>
      </c>
      <c r="H40" s="523"/>
      <c r="I40" s="36" t="s">
        <v>115</v>
      </c>
      <c r="J40" s="36" t="s">
        <v>116</v>
      </c>
      <c r="K40" s="523"/>
      <c r="L40" s="36" t="s">
        <v>115</v>
      </c>
      <c r="M40" s="36" t="s">
        <v>116</v>
      </c>
      <c r="N40" s="523"/>
      <c r="O40" s="36" t="s">
        <v>115</v>
      </c>
      <c r="P40" s="36" t="s">
        <v>116</v>
      </c>
      <c r="Q40" s="523"/>
      <c r="R40" s="523"/>
      <c r="S40" s="523"/>
    </row>
    <row r="41" spans="1:19" x14ac:dyDescent="0.2">
      <c r="A41" s="523"/>
      <c r="B41" s="661">
        <v>44452</v>
      </c>
      <c r="C41" s="662">
        <v>0.79167094907461433</v>
      </c>
      <c r="D41" s="523"/>
      <c r="E41" s="523"/>
      <c r="F41" s="661" t="s">
        <v>117</v>
      </c>
      <c r="G41" s="662"/>
      <c r="H41" s="523"/>
      <c r="I41" s="661">
        <v>44468</v>
      </c>
      <c r="J41" s="662">
        <v>0.81250439814903075</v>
      </c>
      <c r="K41" s="523"/>
      <c r="L41" s="661">
        <v>44452</v>
      </c>
      <c r="M41" s="662">
        <v>0.79167094907461433</v>
      </c>
      <c r="N41" s="523"/>
      <c r="O41" s="661" t="s">
        <v>117</v>
      </c>
      <c r="P41" s="662">
        <v>0.81249999999999922</v>
      </c>
      <c r="Q41" s="523"/>
      <c r="R41" s="523"/>
      <c r="S41" s="523"/>
    </row>
    <row r="42" spans="1:19" x14ac:dyDescent="0.2">
      <c r="A42" s="523"/>
      <c r="B42" s="523"/>
      <c r="C42" s="523"/>
      <c r="D42" s="523"/>
      <c r="E42" s="523"/>
      <c r="F42" s="523"/>
      <c r="G42" s="523"/>
      <c r="H42" s="523"/>
      <c r="I42" s="523"/>
      <c r="J42" s="523"/>
      <c r="K42" s="523"/>
      <c r="L42" s="523"/>
      <c r="M42" s="523"/>
      <c r="N42" s="523"/>
      <c r="O42" s="523"/>
      <c r="P42" s="523"/>
      <c r="Q42" s="523"/>
      <c r="R42" s="523"/>
      <c r="S42" s="523"/>
    </row>
    <row r="43" spans="1:19" ht="4.5" customHeight="1" x14ac:dyDescent="0.2">
      <c r="A43" s="526"/>
      <c r="B43" s="526"/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</row>
    <row r="44" spans="1:19" x14ac:dyDescent="0.2">
      <c r="B44" s="1" t="s">
        <v>3219</v>
      </c>
    </row>
    <row r="45" spans="1:19" x14ac:dyDescent="0.2">
      <c r="I45" s="2" t="s">
        <v>787</v>
      </c>
    </row>
    <row r="46" spans="1:19" ht="11.25" customHeight="1" x14ac:dyDescent="0.2">
      <c r="B46" s="745" t="s">
        <v>55</v>
      </c>
      <c r="C46" s="745"/>
      <c r="D46" s="745"/>
      <c r="E46" s="745"/>
      <c r="F46" s="745"/>
      <c r="G46" s="745"/>
      <c r="H46" s="745"/>
      <c r="I46" s="745"/>
      <c r="K46" s="745" t="s">
        <v>54</v>
      </c>
      <c r="L46" s="745"/>
      <c r="M46" s="745"/>
      <c r="N46" s="745"/>
      <c r="O46" s="745"/>
    </row>
    <row r="47" spans="1:19" ht="3" customHeight="1" x14ac:dyDescent="0.2">
      <c r="F47" s="1"/>
      <c r="K47" s="1"/>
    </row>
    <row r="48" spans="1:19" x14ac:dyDescent="0.2">
      <c r="A48" s="242"/>
      <c r="B48" s="741" t="s">
        <v>47</v>
      </c>
      <c r="C48" s="742"/>
      <c r="D48" s="732" t="s">
        <v>48</v>
      </c>
      <c r="E48" s="733"/>
      <c r="F48" s="243" t="s">
        <v>51</v>
      </c>
      <c r="G48" s="243" t="s">
        <v>50</v>
      </c>
      <c r="H48" s="243" t="s">
        <v>52</v>
      </c>
      <c r="I48" s="243" t="s">
        <v>49</v>
      </c>
      <c r="J48" s="242"/>
      <c r="K48" s="243" t="s">
        <v>7</v>
      </c>
      <c r="L48" s="243" t="s">
        <v>8</v>
      </c>
      <c r="M48" s="243" t="s">
        <v>6</v>
      </c>
      <c r="N48" s="243" t="s">
        <v>20</v>
      </c>
      <c r="O48" s="243" t="s">
        <v>53</v>
      </c>
      <c r="P48" s="340"/>
    </row>
    <row r="49" spans="1:19" x14ac:dyDescent="0.2">
      <c r="A49" s="242"/>
      <c r="B49" s="743"/>
      <c r="C49" s="744"/>
      <c r="D49" s="734"/>
      <c r="E49" s="735"/>
      <c r="F49" s="243" t="s">
        <v>343</v>
      </c>
      <c r="G49" s="243" t="s">
        <v>343</v>
      </c>
      <c r="H49" s="243" t="s">
        <v>343</v>
      </c>
      <c r="I49" s="243" t="s">
        <v>343</v>
      </c>
      <c r="J49" s="242"/>
      <c r="K49" s="243" t="s">
        <v>343</v>
      </c>
      <c r="L49" s="243" t="s">
        <v>343</v>
      </c>
      <c r="M49" s="243" t="s">
        <v>343</v>
      </c>
      <c r="N49" s="243" t="s">
        <v>343</v>
      </c>
      <c r="O49" s="243" t="s">
        <v>343</v>
      </c>
      <c r="P49" s="340"/>
    </row>
    <row r="50" spans="1:19" x14ac:dyDescent="0.2">
      <c r="B50" s="19">
        <v>0</v>
      </c>
      <c r="C50" s="19">
        <v>1.0416666666666666E-2</v>
      </c>
      <c r="D50" s="20">
        <v>1</v>
      </c>
      <c r="E50" s="58" t="str">
        <f>IF(B50&gt;=$J$23,(IF(B50&lt;$K$23,"P","FP")),"FP")</f>
        <v>FP</v>
      </c>
      <c r="F50" s="220"/>
      <c r="G50" s="220"/>
      <c r="H50" s="220">
        <v>2.8958844014161165</v>
      </c>
      <c r="I50" s="220">
        <v>11.720794167559152</v>
      </c>
      <c r="J50" s="16"/>
      <c r="K50" s="220"/>
      <c r="L50" s="220"/>
      <c r="M50" s="220">
        <v>2.8031382960630715</v>
      </c>
      <c r="N50" s="220">
        <v>9.5777969396977802</v>
      </c>
      <c r="O50" s="17">
        <f t="shared" ref="O50:O113" si="3">SUM(K50:N50)</f>
        <v>12.380935235760852</v>
      </c>
    </row>
    <row r="51" spans="1:19" x14ac:dyDescent="0.2">
      <c r="B51" s="19">
        <v>1.0416666666666666E-2</v>
      </c>
      <c r="C51" s="19">
        <v>2.0833333333333332E-2</v>
      </c>
      <c r="D51" s="20">
        <v>2</v>
      </c>
      <c r="E51" s="58" t="str">
        <f t="shared" ref="E51:E114" si="4">IF(B51&gt;=$J$23,(IF(B51&lt;$K$23,"P","FP")),"FP")</f>
        <v>FP</v>
      </c>
      <c r="F51" s="220"/>
      <c r="G51" s="220"/>
      <c r="H51" s="220">
        <v>2.5578508326922305</v>
      </c>
      <c r="I51" s="220">
        <v>11.203565017404694</v>
      </c>
      <c r="J51" s="16"/>
      <c r="K51" s="220"/>
      <c r="L51" s="220"/>
      <c r="M51" s="220">
        <v>2.839098431186768</v>
      </c>
      <c r="N51" s="220">
        <v>9.7883799130295213</v>
      </c>
      <c r="O51" s="17">
        <f t="shared" si="3"/>
        <v>12.627478344216289</v>
      </c>
    </row>
    <row r="52" spans="1:19" x14ac:dyDescent="0.2">
      <c r="B52" s="19">
        <v>2.0833333333333332E-2</v>
      </c>
      <c r="C52" s="19">
        <v>3.125E-2</v>
      </c>
      <c r="D52" s="20">
        <v>3</v>
      </c>
      <c r="E52" s="58" t="str">
        <f t="shared" si="4"/>
        <v>FP</v>
      </c>
      <c r="F52" s="220"/>
      <c r="G52" s="220"/>
      <c r="H52" s="220">
        <v>2.399644336622289</v>
      </c>
      <c r="I52" s="220">
        <v>10.954130370077626</v>
      </c>
      <c r="J52" s="16"/>
      <c r="K52" s="220"/>
      <c r="L52" s="220"/>
      <c r="M52" s="220">
        <v>2.7705818840540388</v>
      </c>
      <c r="N52" s="220">
        <v>8.7765363640410499</v>
      </c>
      <c r="O52" s="17">
        <f t="shared" si="3"/>
        <v>11.547118248095089</v>
      </c>
      <c r="S52" s="341"/>
    </row>
    <row r="53" spans="1:19" x14ac:dyDescent="0.2">
      <c r="B53" s="19">
        <v>3.125E-2</v>
      </c>
      <c r="C53" s="19">
        <v>4.1666666666666664E-2</v>
      </c>
      <c r="D53" s="20">
        <v>4</v>
      </c>
      <c r="E53" s="58" t="str">
        <f t="shared" si="4"/>
        <v>FP</v>
      </c>
      <c r="F53" s="220"/>
      <c r="G53" s="220"/>
      <c r="H53" s="220">
        <v>2.3187074028568757</v>
      </c>
      <c r="I53" s="220">
        <v>10.822378900749111</v>
      </c>
      <c r="J53" s="16"/>
      <c r="K53" s="220"/>
      <c r="L53" s="220"/>
      <c r="M53" s="220">
        <v>2.7679347752540164</v>
      </c>
      <c r="N53" s="220">
        <v>8.8205317065251645</v>
      </c>
      <c r="O53" s="17">
        <f t="shared" si="3"/>
        <v>11.58846648177918</v>
      </c>
    </row>
    <row r="54" spans="1:19" x14ac:dyDescent="0.2">
      <c r="B54" s="19">
        <v>4.1666666666666664E-2</v>
      </c>
      <c r="C54" s="19">
        <v>5.2083333333333336E-2</v>
      </c>
      <c r="D54" s="20">
        <v>5</v>
      </c>
      <c r="E54" s="58" t="str">
        <f t="shared" si="4"/>
        <v>FP</v>
      </c>
      <c r="F54" s="220"/>
      <c r="G54" s="220"/>
      <c r="H54" s="220">
        <v>2.1470066517765578</v>
      </c>
      <c r="I54" s="220">
        <v>10.390158654059354</v>
      </c>
      <c r="J54" s="16"/>
      <c r="K54" s="220"/>
      <c r="L54" s="220"/>
      <c r="M54" s="220">
        <v>2.5138615783494478</v>
      </c>
      <c r="N54" s="220">
        <v>8.3582581360664854</v>
      </c>
      <c r="O54" s="17">
        <f t="shared" si="3"/>
        <v>10.872119714415934</v>
      </c>
      <c r="S54" s="341"/>
    </row>
    <row r="55" spans="1:19" x14ac:dyDescent="0.2">
      <c r="B55" s="19">
        <v>5.2083333333333336E-2</v>
      </c>
      <c r="C55" s="19">
        <v>6.25E-2</v>
      </c>
      <c r="D55" s="20">
        <v>6</v>
      </c>
      <c r="E55" s="58" t="str">
        <f t="shared" si="4"/>
        <v>FP</v>
      </c>
      <c r="F55" s="220"/>
      <c r="G55" s="220"/>
      <c r="H55" s="220">
        <v>2.0677674381189997</v>
      </c>
      <c r="I55" s="220">
        <v>10.032609234983056</v>
      </c>
      <c r="J55" s="16"/>
      <c r="K55" s="220"/>
      <c r="L55" s="220"/>
      <c r="M55" s="220">
        <v>2.4881879898632007</v>
      </c>
      <c r="N55" s="220">
        <v>8.4387167284366313</v>
      </c>
      <c r="O55" s="17">
        <f t="shared" si="3"/>
        <v>10.926904718299832</v>
      </c>
    </row>
    <row r="56" spans="1:19" x14ac:dyDescent="0.2">
      <c r="B56" s="19">
        <v>6.25E-2</v>
      </c>
      <c r="C56" s="19">
        <v>7.2916666666666671E-2</v>
      </c>
      <c r="D56" s="20">
        <v>7</v>
      </c>
      <c r="E56" s="58" t="str">
        <f t="shared" si="4"/>
        <v>FP</v>
      </c>
      <c r="F56" s="220"/>
      <c r="G56" s="220"/>
      <c r="H56" s="220">
        <v>2.0188809141497992</v>
      </c>
      <c r="I56" s="220">
        <v>10.020619550189629</v>
      </c>
      <c r="J56" s="16"/>
      <c r="K56" s="220"/>
      <c r="L56" s="220"/>
      <c r="M56" s="220">
        <v>2.5425875032549881</v>
      </c>
      <c r="N56" s="220">
        <v>8.1674543309099299</v>
      </c>
      <c r="O56" s="17">
        <f t="shared" si="3"/>
        <v>10.710041834164919</v>
      </c>
    </row>
    <row r="57" spans="1:19" x14ac:dyDescent="0.2">
      <c r="B57" s="19">
        <v>7.2916666666666671E-2</v>
      </c>
      <c r="C57" s="19">
        <v>8.3333333333333329E-2</v>
      </c>
      <c r="D57" s="20">
        <v>8</v>
      </c>
      <c r="E57" s="58" t="str">
        <f t="shared" si="4"/>
        <v>FP</v>
      </c>
      <c r="F57" s="220"/>
      <c r="G57" s="220"/>
      <c r="H57" s="220">
        <v>1.9119475783269224</v>
      </c>
      <c r="I57" s="220">
        <v>9.7173056198598076</v>
      </c>
      <c r="J57" s="16"/>
      <c r="K57" s="220"/>
      <c r="L57" s="220"/>
      <c r="M57" s="220">
        <v>2.5556441291024501</v>
      </c>
      <c r="N57" s="220">
        <v>7.9542201847071663</v>
      </c>
      <c r="O57" s="17">
        <f t="shared" si="3"/>
        <v>10.509864313809617</v>
      </c>
    </row>
    <row r="58" spans="1:19" x14ac:dyDescent="0.2">
      <c r="B58" s="19">
        <v>8.3333333333333329E-2</v>
      </c>
      <c r="C58" s="19">
        <v>9.375E-2</v>
      </c>
      <c r="D58" s="20">
        <v>9</v>
      </c>
      <c r="E58" s="58" t="str">
        <f t="shared" si="4"/>
        <v>FP</v>
      </c>
      <c r="F58" s="220"/>
      <c r="G58" s="220"/>
      <c r="H58" s="220">
        <v>1.8613044838998334</v>
      </c>
      <c r="I58" s="220">
        <v>9.4364238845920685</v>
      </c>
      <c r="J58" s="16"/>
      <c r="K58" s="220"/>
      <c r="L58" s="220"/>
      <c r="M58" s="220">
        <v>2.4891561013363162</v>
      </c>
      <c r="N58" s="220">
        <v>8.1512191458785654</v>
      </c>
      <c r="O58" s="17">
        <f t="shared" si="3"/>
        <v>10.640375247214882</v>
      </c>
    </row>
    <row r="59" spans="1:19" x14ac:dyDescent="0.2">
      <c r="B59" s="19">
        <v>9.375E-2</v>
      </c>
      <c r="C59" s="19">
        <v>0.10416666666666667</v>
      </c>
      <c r="D59" s="20">
        <v>10</v>
      </c>
      <c r="E59" s="58" t="str">
        <f t="shared" si="4"/>
        <v>FP</v>
      </c>
      <c r="F59" s="220"/>
      <c r="G59" s="220"/>
      <c r="H59" s="220">
        <v>1.8033754911573909</v>
      </c>
      <c r="I59" s="220">
        <v>9.0853289618094433</v>
      </c>
      <c r="J59" s="16"/>
      <c r="K59" s="220"/>
      <c r="L59" s="220"/>
      <c r="M59" s="220">
        <v>2.4797531916189723</v>
      </c>
      <c r="N59" s="220">
        <v>8.5174617574420886</v>
      </c>
      <c r="O59" s="17">
        <f t="shared" si="3"/>
        <v>10.99721494906106</v>
      </c>
    </row>
    <row r="60" spans="1:19" x14ac:dyDescent="0.2">
      <c r="B60" s="19">
        <v>0.10416666666666667</v>
      </c>
      <c r="C60" s="19">
        <v>0.11458333333333333</v>
      </c>
      <c r="D60" s="20">
        <v>11</v>
      </c>
      <c r="E60" s="58" t="str">
        <f t="shared" si="4"/>
        <v>FP</v>
      </c>
      <c r="F60" s="220"/>
      <c r="G60" s="220"/>
      <c r="H60" s="220">
        <v>1.686026649873521</v>
      </c>
      <c r="I60" s="220">
        <v>9.0516386708003012</v>
      </c>
      <c r="J60" s="16"/>
      <c r="K60" s="220"/>
      <c r="L60" s="220"/>
      <c r="M60" s="220">
        <v>2.4697050383856354</v>
      </c>
      <c r="N60" s="220">
        <v>8.2171043355239668</v>
      </c>
      <c r="O60" s="17">
        <f t="shared" si="3"/>
        <v>10.686809373909602</v>
      </c>
    </row>
    <row r="61" spans="1:19" x14ac:dyDescent="0.2">
      <c r="B61" s="19">
        <v>0.11458333333333333</v>
      </c>
      <c r="C61" s="19">
        <v>0.125</v>
      </c>
      <c r="D61" s="20">
        <v>12</v>
      </c>
      <c r="E61" s="58" t="str">
        <f t="shared" si="4"/>
        <v>FP</v>
      </c>
      <c r="F61" s="220"/>
      <c r="G61" s="220"/>
      <c r="H61" s="220">
        <v>1.6826660225409291</v>
      </c>
      <c r="I61" s="220">
        <v>9.378849014941558</v>
      </c>
      <c r="J61" s="16"/>
      <c r="K61" s="220"/>
      <c r="L61" s="220"/>
      <c r="M61" s="220">
        <v>2.4732807134284633</v>
      </c>
      <c r="N61" s="220">
        <v>7.613032328733409</v>
      </c>
      <c r="O61" s="17">
        <f t="shared" si="3"/>
        <v>10.086313042161873</v>
      </c>
    </row>
    <row r="62" spans="1:19" x14ac:dyDescent="0.2">
      <c r="B62" s="19">
        <v>0.125</v>
      </c>
      <c r="C62" s="19">
        <v>0.13541666666666666</v>
      </c>
      <c r="D62" s="20">
        <v>13</v>
      </c>
      <c r="E62" s="58" t="str">
        <f t="shared" si="4"/>
        <v>FP</v>
      </c>
      <c r="F62" s="220"/>
      <c r="G62" s="220"/>
      <c r="H62" s="220">
        <v>1.6278954700633077</v>
      </c>
      <c r="I62" s="220">
        <v>8.8661077503202996</v>
      </c>
      <c r="J62" s="16"/>
      <c r="K62" s="220"/>
      <c r="L62" s="220"/>
      <c r="M62" s="220">
        <v>2.4053467057192472</v>
      </c>
      <c r="N62" s="220">
        <v>7.5449081317615709</v>
      </c>
      <c r="O62" s="17">
        <f t="shared" si="3"/>
        <v>9.9502548374808182</v>
      </c>
    </row>
    <row r="63" spans="1:19" x14ac:dyDescent="0.2">
      <c r="B63" s="19">
        <v>0.13541666666666666</v>
      </c>
      <c r="C63" s="19">
        <v>0.14583333333333334</v>
      </c>
      <c r="D63" s="20">
        <v>14</v>
      </c>
      <c r="E63" s="58" t="str">
        <f t="shared" si="4"/>
        <v>FP</v>
      </c>
      <c r="F63" s="220"/>
      <c r="G63" s="220"/>
      <c r="H63" s="220">
        <v>1.5998166892217645</v>
      </c>
      <c r="I63" s="220">
        <v>8.7526011271310811</v>
      </c>
      <c r="J63" s="16"/>
      <c r="K63" s="220"/>
      <c r="L63" s="220"/>
      <c r="M63" s="220">
        <v>2.3722796040713492</v>
      </c>
      <c r="N63" s="220">
        <v>7.6433645034029425</v>
      </c>
      <c r="O63" s="17">
        <f t="shared" si="3"/>
        <v>10.015644107474291</v>
      </c>
    </row>
    <row r="64" spans="1:19" x14ac:dyDescent="0.2">
      <c r="B64" s="19">
        <v>0.14583333333333334</v>
      </c>
      <c r="C64" s="19">
        <v>0.15625</v>
      </c>
      <c r="D64" s="20">
        <v>15</v>
      </c>
      <c r="E64" s="58" t="str">
        <f t="shared" si="4"/>
        <v>FP</v>
      </c>
      <c r="F64" s="220"/>
      <c r="G64" s="220"/>
      <c r="H64" s="220">
        <v>1.5890708758102314</v>
      </c>
      <c r="I64" s="220">
        <v>8.7435859054977652</v>
      </c>
      <c r="J64" s="16"/>
      <c r="K64" s="220"/>
      <c r="L64" s="220"/>
      <c r="M64" s="220">
        <v>2.4313916028499207</v>
      </c>
      <c r="N64" s="220">
        <v>8.3796727778819129</v>
      </c>
      <c r="O64" s="17">
        <f t="shared" si="3"/>
        <v>10.811064380731834</v>
      </c>
    </row>
    <row r="65" spans="2:15" x14ac:dyDescent="0.2">
      <c r="B65" s="19">
        <v>0.15625</v>
      </c>
      <c r="C65" s="19">
        <v>0.16666666666666666</v>
      </c>
      <c r="D65" s="20">
        <v>16</v>
      </c>
      <c r="E65" s="58" t="str">
        <f t="shared" si="4"/>
        <v>FP</v>
      </c>
      <c r="F65" s="220"/>
      <c r="G65" s="220"/>
      <c r="H65" s="220">
        <v>1.5759937833414397</v>
      </c>
      <c r="I65" s="220">
        <v>8.5941148852868547</v>
      </c>
      <c r="J65" s="16"/>
      <c r="K65" s="220"/>
      <c r="L65" s="220"/>
      <c r="M65" s="220">
        <v>2.4206142643063502</v>
      </c>
      <c r="N65" s="220">
        <v>7.6649414947949968</v>
      </c>
      <c r="O65" s="17">
        <f t="shared" si="3"/>
        <v>10.085555759101346</v>
      </c>
    </row>
    <row r="66" spans="2:15" x14ac:dyDescent="0.2">
      <c r="B66" s="19">
        <v>0.16666666666666666</v>
      </c>
      <c r="C66" s="19">
        <v>0.17708333333333334</v>
      </c>
      <c r="D66" s="20">
        <v>17</v>
      </c>
      <c r="E66" s="58" t="str">
        <f t="shared" si="4"/>
        <v>FP</v>
      </c>
      <c r="F66" s="220"/>
      <c r="G66" s="220"/>
      <c r="H66" s="220">
        <v>1.6084321081209711</v>
      </c>
      <c r="I66" s="220">
        <v>8.6279576089031416</v>
      </c>
      <c r="J66" s="16"/>
      <c r="K66" s="220"/>
      <c r="L66" s="220"/>
      <c r="M66" s="220">
        <v>2.3967778863566598</v>
      </c>
      <c r="N66" s="220">
        <v>8.022992594641071</v>
      </c>
      <c r="O66" s="17">
        <f t="shared" si="3"/>
        <v>10.41977048099773</v>
      </c>
    </row>
    <row r="67" spans="2:15" x14ac:dyDescent="0.2">
      <c r="B67" s="19">
        <v>0.17708333333333334</v>
      </c>
      <c r="C67" s="19">
        <v>0.1875</v>
      </c>
      <c r="D67" s="20">
        <v>18</v>
      </c>
      <c r="E67" s="58" t="str">
        <f t="shared" si="4"/>
        <v>FP</v>
      </c>
      <c r="F67" s="220"/>
      <c r="G67" s="220"/>
      <c r="H67" s="220">
        <v>1.6045544384273713</v>
      </c>
      <c r="I67" s="220">
        <v>8.7436835456508675</v>
      </c>
      <c r="J67" s="16"/>
      <c r="K67" s="220"/>
      <c r="L67" s="220"/>
      <c r="M67" s="220">
        <v>2.4233391397421777</v>
      </c>
      <c r="N67" s="220">
        <v>7.5731432791225712</v>
      </c>
      <c r="O67" s="17">
        <f t="shared" si="3"/>
        <v>9.9964824188647494</v>
      </c>
    </row>
    <row r="68" spans="2:15" x14ac:dyDescent="0.2">
      <c r="B68" s="19">
        <v>0.1875</v>
      </c>
      <c r="C68" s="19">
        <v>0.19791666666666666</v>
      </c>
      <c r="D68" s="20">
        <v>19</v>
      </c>
      <c r="E68" s="58" t="str">
        <f t="shared" si="4"/>
        <v>FP</v>
      </c>
      <c r="F68" s="220"/>
      <c r="G68" s="220"/>
      <c r="H68" s="220">
        <v>1.6008107509693106</v>
      </c>
      <c r="I68" s="220">
        <v>8.4853170708055359</v>
      </c>
      <c r="J68" s="16"/>
      <c r="K68" s="220"/>
      <c r="L68" s="220"/>
      <c r="M68" s="220">
        <v>2.4174968263801282</v>
      </c>
      <c r="N68" s="220">
        <v>7.5999674660318286</v>
      </c>
      <c r="O68" s="17">
        <f t="shared" si="3"/>
        <v>10.017464292411956</v>
      </c>
    </row>
    <row r="69" spans="2:15" x14ac:dyDescent="0.2">
      <c r="B69" s="19">
        <v>0.19791666666666666</v>
      </c>
      <c r="C69" s="19">
        <v>0.20833333333333334</v>
      </c>
      <c r="D69" s="20">
        <v>20</v>
      </c>
      <c r="E69" s="58" t="str">
        <f t="shared" si="4"/>
        <v>FP</v>
      </c>
      <c r="F69" s="220"/>
      <c r="G69" s="220"/>
      <c r="H69" s="220">
        <v>1.6083035135935337</v>
      </c>
      <c r="I69" s="220">
        <v>8.681552245107147</v>
      </c>
      <c r="J69" s="16"/>
      <c r="K69" s="220"/>
      <c r="L69" s="220"/>
      <c r="M69" s="220">
        <v>2.5759980163609564</v>
      </c>
      <c r="N69" s="220">
        <v>7.6211806006775937</v>
      </c>
      <c r="O69" s="17">
        <f t="shared" si="3"/>
        <v>10.197178617038549</v>
      </c>
    </row>
    <row r="70" spans="2:15" x14ac:dyDescent="0.2">
      <c r="B70" s="19">
        <v>0.20833333333333334</v>
      </c>
      <c r="C70" s="19">
        <v>0.21875</v>
      </c>
      <c r="D70" s="20">
        <v>21</v>
      </c>
      <c r="E70" s="58" t="str">
        <f t="shared" si="4"/>
        <v>FP</v>
      </c>
      <c r="F70" s="220"/>
      <c r="G70" s="220"/>
      <c r="H70" s="220">
        <v>1.612848903858237</v>
      </c>
      <c r="I70" s="220">
        <v>9.017830082882881</v>
      </c>
      <c r="J70" s="16"/>
      <c r="K70" s="220"/>
      <c r="L70" s="220"/>
      <c r="M70" s="220">
        <v>2.6739672843671114</v>
      </c>
      <c r="N70" s="220">
        <v>8.5165621522900494</v>
      </c>
      <c r="O70" s="17">
        <f t="shared" si="3"/>
        <v>11.190529436657162</v>
      </c>
    </row>
    <row r="71" spans="2:15" x14ac:dyDescent="0.2">
      <c r="B71" s="19">
        <v>0.21875</v>
      </c>
      <c r="C71" s="19">
        <v>0.22916666666666666</v>
      </c>
      <c r="D71" s="20">
        <v>22</v>
      </c>
      <c r="E71" s="58" t="str">
        <f t="shared" si="4"/>
        <v>FP</v>
      </c>
      <c r="F71" s="220"/>
      <c r="G71" s="220"/>
      <c r="H71" s="220">
        <v>1.683791520683922</v>
      </c>
      <c r="I71" s="220">
        <v>9.0823468824982179</v>
      </c>
      <c r="J71" s="16"/>
      <c r="K71" s="220"/>
      <c r="L71" s="220"/>
      <c r="M71" s="220">
        <v>2.7466215912583616</v>
      </c>
      <c r="N71" s="220">
        <v>7.798622492779236</v>
      </c>
      <c r="O71" s="17">
        <f t="shared" si="3"/>
        <v>10.545244084037598</v>
      </c>
    </row>
    <row r="72" spans="2:15" x14ac:dyDescent="0.2">
      <c r="B72" s="19">
        <v>0.22916666666666666</v>
      </c>
      <c r="C72" s="19">
        <v>0.23958333333333334</v>
      </c>
      <c r="D72" s="20">
        <v>23</v>
      </c>
      <c r="E72" s="58" t="str">
        <f t="shared" si="4"/>
        <v>FP</v>
      </c>
      <c r="F72" s="220"/>
      <c r="G72" s="220"/>
      <c r="H72" s="220">
        <v>1.7178960682008679</v>
      </c>
      <c r="I72" s="220">
        <v>8.6559022535965529</v>
      </c>
      <c r="J72" s="16"/>
      <c r="K72" s="220"/>
      <c r="L72" s="220"/>
      <c r="M72" s="220">
        <v>2.8140322603440415</v>
      </c>
      <c r="N72" s="220">
        <v>8.153809864409105</v>
      </c>
      <c r="O72" s="17">
        <f t="shared" si="3"/>
        <v>10.967842124753147</v>
      </c>
    </row>
    <row r="73" spans="2:15" x14ac:dyDescent="0.2">
      <c r="B73" s="19">
        <v>0.23958333333333334</v>
      </c>
      <c r="C73" s="19">
        <v>0.25</v>
      </c>
      <c r="D73" s="20">
        <v>24</v>
      </c>
      <c r="E73" s="58" t="str">
        <f t="shared" si="4"/>
        <v>FP</v>
      </c>
      <c r="F73" s="220"/>
      <c r="G73" s="220"/>
      <c r="H73" s="220">
        <v>1.8768169980473217</v>
      </c>
      <c r="I73" s="220">
        <v>9.1047154087287012</v>
      </c>
      <c r="J73" s="16"/>
      <c r="K73" s="220"/>
      <c r="L73" s="220"/>
      <c r="M73" s="220">
        <v>2.819206478067827</v>
      </c>
      <c r="N73" s="220">
        <v>8.2268782001733083</v>
      </c>
      <c r="O73" s="17">
        <f t="shared" si="3"/>
        <v>11.046084678241135</v>
      </c>
    </row>
    <row r="74" spans="2:15" x14ac:dyDescent="0.2">
      <c r="B74" s="19">
        <v>0.25</v>
      </c>
      <c r="C74" s="19">
        <v>0.26041666666666669</v>
      </c>
      <c r="D74" s="20">
        <v>25</v>
      </c>
      <c r="E74" s="58" t="str">
        <f t="shared" si="4"/>
        <v>FP</v>
      </c>
      <c r="F74" s="220"/>
      <c r="G74" s="220"/>
      <c r="H74" s="220">
        <v>2.2020730545551017</v>
      </c>
      <c r="I74" s="220">
        <v>9.3969378669641959</v>
      </c>
      <c r="J74" s="16"/>
      <c r="K74" s="220"/>
      <c r="L74" s="220"/>
      <c r="M74" s="220">
        <v>3.1124355554889882</v>
      </c>
      <c r="N74" s="220">
        <v>8.7021900460610375</v>
      </c>
      <c r="O74" s="17">
        <f t="shared" si="3"/>
        <v>11.814625601550025</v>
      </c>
    </row>
    <row r="75" spans="2:15" x14ac:dyDescent="0.2">
      <c r="B75" s="19">
        <v>0.26041666666666669</v>
      </c>
      <c r="C75" s="19">
        <v>0.27083333333333331</v>
      </c>
      <c r="D75" s="20">
        <v>26</v>
      </c>
      <c r="E75" s="58" t="str">
        <f t="shared" si="4"/>
        <v>FP</v>
      </c>
      <c r="F75" s="220"/>
      <c r="G75" s="220"/>
      <c r="H75" s="220">
        <v>2.469392125566662</v>
      </c>
      <c r="I75" s="220">
        <v>10.655922219785239</v>
      </c>
      <c r="J75" s="16"/>
      <c r="K75" s="220"/>
      <c r="L75" s="220"/>
      <c r="M75" s="220">
        <v>3.1103029059997156</v>
      </c>
      <c r="N75" s="220">
        <v>9.9280999747451162</v>
      </c>
      <c r="O75" s="17">
        <f t="shared" si="3"/>
        <v>13.038402880744831</v>
      </c>
    </row>
    <row r="76" spans="2:15" x14ac:dyDescent="0.2">
      <c r="B76" s="19">
        <v>0.27083333333333331</v>
      </c>
      <c r="C76" s="19">
        <v>0.28125</v>
      </c>
      <c r="D76" s="20">
        <v>27</v>
      </c>
      <c r="E76" s="58" t="str">
        <f t="shared" si="4"/>
        <v>FP</v>
      </c>
      <c r="F76" s="220"/>
      <c r="G76" s="220"/>
      <c r="H76" s="220">
        <v>2.6964140410514732</v>
      </c>
      <c r="I76" s="220">
        <v>10.832996308531065</v>
      </c>
      <c r="J76" s="16"/>
      <c r="K76" s="220"/>
      <c r="L76" s="220"/>
      <c r="M76" s="220">
        <v>3.2685389839170456</v>
      </c>
      <c r="N76" s="220">
        <v>12.251866409384938</v>
      </c>
      <c r="O76" s="17">
        <f t="shared" si="3"/>
        <v>15.520405393301983</v>
      </c>
    </row>
    <row r="77" spans="2:15" x14ac:dyDescent="0.2">
      <c r="B77" s="19">
        <v>0.28125</v>
      </c>
      <c r="C77" s="19">
        <v>0.29166666666666669</v>
      </c>
      <c r="D77" s="20">
        <v>28</v>
      </c>
      <c r="E77" s="58" t="str">
        <f t="shared" si="4"/>
        <v>FP</v>
      </c>
      <c r="F77" s="220"/>
      <c r="G77" s="220"/>
      <c r="H77" s="220">
        <v>2.7196413387614395</v>
      </c>
      <c r="I77" s="220">
        <v>10.453863319920885</v>
      </c>
      <c r="J77" s="16"/>
      <c r="K77" s="220"/>
      <c r="L77" s="220"/>
      <c r="M77" s="220">
        <v>3.3752947193863898</v>
      </c>
      <c r="N77" s="220">
        <v>11.39123653485621</v>
      </c>
      <c r="O77" s="17">
        <f t="shared" si="3"/>
        <v>14.766531254242601</v>
      </c>
    </row>
    <row r="78" spans="2:15" x14ac:dyDescent="0.2">
      <c r="B78" s="19">
        <v>0.29166666666666669</v>
      </c>
      <c r="C78" s="19">
        <v>0.30208333333333331</v>
      </c>
      <c r="D78" s="20">
        <v>29</v>
      </c>
      <c r="E78" s="58" t="str">
        <f t="shared" si="4"/>
        <v>FP</v>
      </c>
      <c r="F78" s="220"/>
      <c r="G78" s="220"/>
      <c r="H78" s="220">
        <v>2.8926884840169182</v>
      </c>
      <c r="I78" s="220">
        <v>10.435621268196744</v>
      </c>
      <c r="J78" s="16"/>
      <c r="K78" s="220"/>
      <c r="L78" s="220"/>
      <c r="M78" s="220">
        <v>3.823441441445584</v>
      </c>
      <c r="N78" s="220">
        <v>9.9795773907433265</v>
      </c>
      <c r="O78" s="17">
        <f t="shared" si="3"/>
        <v>13.803018832188911</v>
      </c>
    </row>
    <row r="79" spans="2:15" x14ac:dyDescent="0.2">
      <c r="B79" s="19">
        <v>0.30208333333333331</v>
      </c>
      <c r="C79" s="19">
        <v>0.3125</v>
      </c>
      <c r="D79" s="20">
        <v>30</v>
      </c>
      <c r="E79" s="58" t="str">
        <f t="shared" si="4"/>
        <v>FP</v>
      </c>
      <c r="F79" s="220"/>
      <c r="G79" s="220"/>
      <c r="H79" s="220">
        <v>2.9522195206442241</v>
      </c>
      <c r="I79" s="220">
        <v>10.880466737354361</v>
      </c>
      <c r="J79" s="16"/>
      <c r="K79" s="220"/>
      <c r="L79" s="220"/>
      <c r="M79" s="220">
        <v>4.0623705667876022</v>
      </c>
      <c r="N79" s="220">
        <v>10.906086188479939</v>
      </c>
      <c r="O79" s="17">
        <f t="shared" si="3"/>
        <v>14.968456755267542</v>
      </c>
    </row>
    <row r="80" spans="2:15" x14ac:dyDescent="0.2">
      <c r="B80" s="19">
        <v>0.3125</v>
      </c>
      <c r="C80" s="19">
        <v>0.32291666666666669</v>
      </c>
      <c r="D80" s="20">
        <v>31</v>
      </c>
      <c r="E80" s="58" t="str">
        <f t="shared" si="4"/>
        <v>FP</v>
      </c>
      <c r="F80" s="220"/>
      <c r="G80" s="220"/>
      <c r="H80" s="220">
        <v>2.9504317488438128</v>
      </c>
      <c r="I80" s="220">
        <v>10.254155564259468</v>
      </c>
      <c r="J80" s="16"/>
      <c r="K80" s="220"/>
      <c r="L80" s="220"/>
      <c r="M80" s="220">
        <v>4.3414465604579089</v>
      </c>
      <c r="N80" s="220">
        <v>9.8580548577268292</v>
      </c>
      <c r="O80" s="17">
        <f t="shared" si="3"/>
        <v>14.199501418184738</v>
      </c>
    </row>
    <row r="81" spans="2:15" x14ac:dyDescent="0.2">
      <c r="B81" s="19">
        <v>0.32291666666666669</v>
      </c>
      <c r="C81" s="19">
        <v>0.33333333333333331</v>
      </c>
      <c r="D81" s="20">
        <v>32</v>
      </c>
      <c r="E81" s="58" t="str">
        <f t="shared" si="4"/>
        <v>FP</v>
      </c>
      <c r="F81" s="220"/>
      <c r="G81" s="220"/>
      <c r="H81" s="220">
        <v>2.9874485598092426</v>
      </c>
      <c r="I81" s="220">
        <v>9.8928605330248711</v>
      </c>
      <c r="J81" s="16"/>
      <c r="K81" s="220"/>
      <c r="L81" s="220"/>
      <c r="M81" s="220">
        <v>4.5212833183747172</v>
      </c>
      <c r="N81" s="220">
        <v>10.720847689591407</v>
      </c>
      <c r="O81" s="17">
        <f t="shared" si="3"/>
        <v>15.242131007966124</v>
      </c>
    </row>
    <row r="82" spans="2:15" x14ac:dyDescent="0.2">
      <c r="B82" s="19">
        <v>0.33333333333333331</v>
      </c>
      <c r="C82" s="19">
        <v>0.34375</v>
      </c>
      <c r="D82" s="20">
        <v>33</v>
      </c>
      <c r="E82" s="58" t="str">
        <f t="shared" si="4"/>
        <v>FP</v>
      </c>
      <c r="F82" s="220"/>
      <c r="G82" s="220"/>
      <c r="H82" s="220">
        <v>3.9990084583635146</v>
      </c>
      <c r="I82" s="220">
        <v>10.036143622231025</v>
      </c>
      <c r="J82" s="16"/>
      <c r="K82" s="220"/>
      <c r="L82" s="220"/>
      <c r="M82" s="220">
        <v>4.776734181018627</v>
      </c>
      <c r="N82" s="220">
        <v>12.060209370100537</v>
      </c>
      <c r="O82" s="17">
        <f t="shared" si="3"/>
        <v>16.836943551119163</v>
      </c>
    </row>
    <row r="83" spans="2:15" x14ac:dyDescent="0.2">
      <c r="B83" s="19">
        <v>0.34375</v>
      </c>
      <c r="C83" s="19">
        <v>0.35416666666666669</v>
      </c>
      <c r="D83" s="20">
        <v>34</v>
      </c>
      <c r="E83" s="58" t="str">
        <f t="shared" si="4"/>
        <v>FP</v>
      </c>
      <c r="F83" s="220"/>
      <c r="G83" s="220"/>
      <c r="H83" s="220">
        <v>4.2225630580542051</v>
      </c>
      <c r="I83" s="220">
        <v>10.871329109378719</v>
      </c>
      <c r="J83" s="16"/>
      <c r="K83" s="220"/>
      <c r="L83" s="220"/>
      <c r="M83" s="220">
        <v>5.0478877612251036</v>
      </c>
      <c r="N83" s="220">
        <v>10.316209447167928</v>
      </c>
      <c r="O83" s="17">
        <f t="shared" si="3"/>
        <v>15.364097208393032</v>
      </c>
    </row>
    <row r="84" spans="2:15" x14ac:dyDescent="0.2">
      <c r="B84" s="19">
        <v>0.35416666666666669</v>
      </c>
      <c r="C84" s="19">
        <v>0.36458333333333331</v>
      </c>
      <c r="D84" s="20">
        <v>35</v>
      </c>
      <c r="E84" s="58" t="str">
        <f t="shared" si="4"/>
        <v>FP</v>
      </c>
      <c r="F84" s="220"/>
      <c r="G84" s="220"/>
      <c r="H84" s="220">
        <v>4.2454363063746339</v>
      </c>
      <c r="I84" s="220">
        <v>10.624454584674302</v>
      </c>
      <c r="J84" s="16"/>
      <c r="K84" s="220"/>
      <c r="L84" s="220"/>
      <c r="M84" s="220">
        <v>5.1655233428680871</v>
      </c>
      <c r="N84" s="220">
        <v>12.179936583414021</v>
      </c>
      <c r="O84" s="17">
        <f t="shared" si="3"/>
        <v>17.345459926282107</v>
      </c>
    </row>
    <row r="85" spans="2:15" x14ac:dyDescent="0.2">
      <c r="B85" s="19">
        <v>0.36458333333333331</v>
      </c>
      <c r="C85" s="19">
        <v>0.375</v>
      </c>
      <c r="D85" s="20">
        <v>36</v>
      </c>
      <c r="E85" s="58" t="str">
        <f t="shared" si="4"/>
        <v>FP</v>
      </c>
      <c r="F85" s="220"/>
      <c r="G85" s="220"/>
      <c r="H85" s="220">
        <v>4.1847329399877591</v>
      </c>
      <c r="I85" s="220">
        <v>10.82306402559445</v>
      </c>
      <c r="J85" s="16"/>
      <c r="K85" s="220"/>
      <c r="L85" s="220"/>
      <c r="M85" s="220">
        <v>5.1206284638297674</v>
      </c>
      <c r="N85" s="220">
        <v>11.211014214242081</v>
      </c>
      <c r="O85" s="17">
        <f t="shared" si="3"/>
        <v>16.331642678071848</v>
      </c>
    </row>
    <row r="86" spans="2:15" x14ac:dyDescent="0.2">
      <c r="B86" s="19">
        <v>0.375</v>
      </c>
      <c r="C86" s="19">
        <v>0.38541666666666669</v>
      </c>
      <c r="D86" s="20">
        <v>37</v>
      </c>
      <c r="E86" s="58" t="str">
        <f t="shared" si="4"/>
        <v>FP</v>
      </c>
      <c r="F86" s="220"/>
      <c r="G86" s="220"/>
      <c r="H86" s="220">
        <v>4.1605665233117675</v>
      </c>
      <c r="I86" s="220">
        <v>10.402960746568862</v>
      </c>
      <c r="J86" s="16"/>
      <c r="K86" s="220"/>
      <c r="L86" s="220"/>
      <c r="M86" s="220">
        <v>5.0824780847652216</v>
      </c>
      <c r="N86" s="220">
        <v>11.937083097553881</v>
      </c>
      <c r="O86" s="17">
        <f t="shared" si="3"/>
        <v>17.019561182319102</v>
      </c>
    </row>
    <row r="87" spans="2:15" x14ac:dyDescent="0.2">
      <c r="B87" s="19">
        <v>0.38541666666666669</v>
      </c>
      <c r="C87" s="19">
        <v>0.39583333333333331</v>
      </c>
      <c r="D87" s="20">
        <v>38</v>
      </c>
      <c r="E87" s="58" t="str">
        <f t="shared" si="4"/>
        <v>FP</v>
      </c>
      <c r="F87" s="220"/>
      <c r="G87" s="220"/>
      <c r="H87" s="220">
        <v>4.2192140350159857</v>
      </c>
      <c r="I87" s="220">
        <v>10.692855730941572</v>
      </c>
      <c r="J87" s="16"/>
      <c r="K87" s="220"/>
      <c r="L87" s="220"/>
      <c r="M87" s="220">
        <v>5.111806180447636</v>
      </c>
      <c r="N87" s="220">
        <v>13.534877035976141</v>
      </c>
      <c r="O87" s="17">
        <f t="shared" si="3"/>
        <v>18.646683216423778</v>
      </c>
    </row>
    <row r="88" spans="2:15" x14ac:dyDescent="0.2">
      <c r="B88" s="19">
        <v>0.39583333333333331</v>
      </c>
      <c r="C88" s="19">
        <v>0.40625</v>
      </c>
      <c r="D88" s="20">
        <v>39</v>
      </c>
      <c r="E88" s="58" t="str">
        <f t="shared" si="4"/>
        <v>FP</v>
      </c>
      <c r="F88" s="220"/>
      <c r="G88" s="220"/>
      <c r="H88" s="220">
        <v>4.176839059535089</v>
      </c>
      <c r="I88" s="220">
        <v>11.143750944534855</v>
      </c>
      <c r="J88" s="16"/>
      <c r="K88" s="220"/>
      <c r="L88" s="220"/>
      <c r="M88" s="220">
        <v>5.1307654021188656</v>
      </c>
      <c r="N88" s="220">
        <v>12.5958620188096</v>
      </c>
      <c r="O88" s="17">
        <f t="shared" si="3"/>
        <v>17.726627420928466</v>
      </c>
    </row>
    <row r="89" spans="2:15" x14ac:dyDescent="0.2">
      <c r="B89" s="19">
        <v>0.40625</v>
      </c>
      <c r="C89" s="19">
        <v>0.41666666666666669</v>
      </c>
      <c r="D89" s="20">
        <v>40</v>
      </c>
      <c r="E89" s="58" t="str">
        <f t="shared" si="4"/>
        <v>FP</v>
      </c>
      <c r="F89" s="220"/>
      <c r="G89" s="220"/>
      <c r="H89" s="220">
        <v>4.3932570181865165</v>
      </c>
      <c r="I89" s="220">
        <v>11.036478004049519</v>
      </c>
      <c r="J89" s="16"/>
      <c r="K89" s="220"/>
      <c r="L89" s="220"/>
      <c r="M89" s="220">
        <v>5.1764290197698326</v>
      </c>
      <c r="N89" s="220">
        <v>12.709445567144051</v>
      </c>
      <c r="O89" s="17">
        <f t="shared" si="3"/>
        <v>17.885874586913886</v>
      </c>
    </row>
    <row r="90" spans="2:15" x14ac:dyDescent="0.2">
      <c r="B90" s="19">
        <v>0.41666666666666669</v>
      </c>
      <c r="C90" s="19">
        <v>0.42708333333333331</v>
      </c>
      <c r="D90" s="20">
        <v>41</v>
      </c>
      <c r="E90" s="58" t="str">
        <f t="shared" si="4"/>
        <v>FP</v>
      </c>
      <c r="F90" s="220"/>
      <c r="G90" s="220"/>
      <c r="H90" s="220">
        <v>4.4365595083390659</v>
      </c>
      <c r="I90" s="220">
        <v>11.221816657808292</v>
      </c>
      <c r="J90" s="16"/>
      <c r="K90" s="220"/>
      <c r="L90" s="220"/>
      <c r="M90" s="220">
        <v>5.2894295597777372</v>
      </c>
      <c r="N90" s="220">
        <v>13.001608747576812</v>
      </c>
      <c r="O90" s="17">
        <f t="shared" si="3"/>
        <v>18.291038307354547</v>
      </c>
    </row>
    <row r="91" spans="2:15" x14ac:dyDescent="0.2">
      <c r="B91" s="19">
        <v>0.42708333333333331</v>
      </c>
      <c r="C91" s="19">
        <v>0.4375</v>
      </c>
      <c r="D91" s="20">
        <v>42</v>
      </c>
      <c r="E91" s="58" t="str">
        <f t="shared" si="4"/>
        <v>FP</v>
      </c>
      <c r="F91" s="220"/>
      <c r="G91" s="220"/>
      <c r="H91" s="220">
        <v>4.5003569585214596</v>
      </c>
      <c r="I91" s="220">
        <v>11.278207078979777</v>
      </c>
      <c r="J91" s="16"/>
      <c r="K91" s="220"/>
      <c r="L91" s="220"/>
      <c r="M91" s="220">
        <v>5.2779371217428528</v>
      </c>
      <c r="N91" s="220">
        <v>13.46943545650092</v>
      </c>
      <c r="O91" s="17">
        <f t="shared" si="3"/>
        <v>18.747372578243773</v>
      </c>
    </row>
    <row r="92" spans="2:15" x14ac:dyDescent="0.2">
      <c r="B92" s="19">
        <v>0.4375</v>
      </c>
      <c r="C92" s="19">
        <v>0.44791666666666669</v>
      </c>
      <c r="D92" s="20">
        <v>43</v>
      </c>
      <c r="E92" s="58" t="str">
        <f t="shared" si="4"/>
        <v>FP</v>
      </c>
      <c r="F92" s="220"/>
      <c r="G92" s="220"/>
      <c r="H92" s="220">
        <v>4.470773467774384</v>
      </c>
      <c r="I92" s="220">
        <v>11.827251905913254</v>
      </c>
      <c r="J92" s="16"/>
      <c r="K92" s="220"/>
      <c r="L92" s="220"/>
      <c r="M92" s="220">
        <v>5.2677189296696536</v>
      </c>
      <c r="N92" s="220">
        <v>14.637711147668051</v>
      </c>
      <c r="O92" s="17">
        <f t="shared" si="3"/>
        <v>19.905430077337705</v>
      </c>
    </row>
    <row r="93" spans="2:15" x14ac:dyDescent="0.2">
      <c r="B93" s="19">
        <v>0.44791666666666669</v>
      </c>
      <c r="C93" s="19">
        <v>0.45833333333333331</v>
      </c>
      <c r="D93" s="20">
        <v>44</v>
      </c>
      <c r="E93" s="58" t="str">
        <f t="shared" si="4"/>
        <v>FP</v>
      </c>
      <c r="F93" s="220"/>
      <c r="G93" s="220"/>
      <c r="H93" s="220">
        <v>4.6414619809930109</v>
      </c>
      <c r="I93" s="220">
        <v>11.806128757370686</v>
      </c>
      <c r="J93" s="16"/>
      <c r="K93" s="220"/>
      <c r="L93" s="220"/>
      <c r="M93" s="220">
        <v>5.2195634539666864</v>
      </c>
      <c r="N93" s="220">
        <v>14.253155612695728</v>
      </c>
      <c r="O93" s="17">
        <f t="shared" si="3"/>
        <v>19.472719066662414</v>
      </c>
    </row>
    <row r="94" spans="2:15" x14ac:dyDescent="0.2">
      <c r="B94" s="19">
        <v>0.45833333333333331</v>
      </c>
      <c r="C94" s="19">
        <v>0.46875</v>
      </c>
      <c r="D94" s="20">
        <v>45</v>
      </c>
      <c r="E94" s="58" t="str">
        <f t="shared" si="4"/>
        <v>FP</v>
      </c>
      <c r="F94" s="220"/>
      <c r="G94" s="220"/>
      <c r="H94" s="220">
        <v>4.0680607593181062</v>
      </c>
      <c r="I94" s="220">
        <v>12.366048790582381</v>
      </c>
      <c r="J94" s="16"/>
      <c r="K94" s="220"/>
      <c r="L94" s="220"/>
      <c r="M94" s="220">
        <v>5.1392495209095719</v>
      </c>
      <c r="N94" s="220">
        <v>14.12277301039903</v>
      </c>
      <c r="O94" s="17">
        <f t="shared" si="3"/>
        <v>19.262022531308602</v>
      </c>
    </row>
    <row r="95" spans="2:15" x14ac:dyDescent="0.2">
      <c r="B95" s="19">
        <v>0.46875</v>
      </c>
      <c r="C95" s="19">
        <v>0.47916666666666669</v>
      </c>
      <c r="D95" s="20">
        <v>46</v>
      </c>
      <c r="E95" s="58" t="str">
        <f t="shared" si="4"/>
        <v>FP</v>
      </c>
      <c r="F95" s="220"/>
      <c r="G95" s="220"/>
      <c r="H95" s="220">
        <v>4.5273296014458264</v>
      </c>
      <c r="I95" s="220">
        <v>12.717182396837563</v>
      </c>
      <c r="J95" s="16"/>
      <c r="K95" s="220"/>
      <c r="L95" s="220"/>
      <c r="M95" s="220">
        <v>5.1259472448378194</v>
      </c>
      <c r="N95" s="220">
        <v>14.52192151403136</v>
      </c>
      <c r="O95" s="17">
        <f t="shared" si="3"/>
        <v>19.64786875886918</v>
      </c>
    </row>
    <row r="96" spans="2:15" x14ac:dyDescent="0.2">
      <c r="B96" s="19">
        <v>0.47916666666666669</v>
      </c>
      <c r="C96" s="19">
        <v>0.48958333333333331</v>
      </c>
      <c r="D96" s="20">
        <v>47</v>
      </c>
      <c r="E96" s="58" t="str">
        <f t="shared" si="4"/>
        <v>FP</v>
      </c>
      <c r="F96" s="220"/>
      <c r="G96" s="220"/>
      <c r="H96" s="220">
        <v>4.9783891157718028</v>
      </c>
      <c r="I96" s="220">
        <v>12.546379961966268</v>
      </c>
      <c r="J96" s="16"/>
      <c r="K96" s="220"/>
      <c r="L96" s="220"/>
      <c r="M96" s="220">
        <v>5.0242549051965835</v>
      </c>
      <c r="N96" s="220">
        <v>14.381611114421045</v>
      </c>
      <c r="O96" s="17">
        <f t="shared" si="3"/>
        <v>19.405866019617626</v>
      </c>
    </row>
    <row r="97" spans="2:15" x14ac:dyDescent="0.2">
      <c r="B97" s="19">
        <v>0.48958333333333331</v>
      </c>
      <c r="C97" s="19">
        <v>0.5</v>
      </c>
      <c r="D97" s="20">
        <v>48</v>
      </c>
      <c r="E97" s="58" t="str">
        <f t="shared" si="4"/>
        <v>FP</v>
      </c>
      <c r="F97" s="220"/>
      <c r="G97" s="220"/>
      <c r="H97" s="220">
        <v>5.4243785007462089</v>
      </c>
      <c r="I97" s="220">
        <v>12.533397437905601</v>
      </c>
      <c r="J97" s="16"/>
      <c r="K97" s="220"/>
      <c r="L97" s="220"/>
      <c r="M97" s="220">
        <v>4.7979553914780197</v>
      </c>
      <c r="N97" s="220">
        <v>15.638286358283327</v>
      </c>
      <c r="O97" s="17">
        <f t="shared" si="3"/>
        <v>20.436241749761347</v>
      </c>
    </row>
    <row r="98" spans="2:15" x14ac:dyDescent="0.2">
      <c r="B98" s="19">
        <v>0.5</v>
      </c>
      <c r="C98" s="19">
        <v>0.51041666666666663</v>
      </c>
      <c r="D98" s="20">
        <v>49</v>
      </c>
      <c r="E98" s="58" t="str">
        <f t="shared" si="4"/>
        <v>FP</v>
      </c>
      <c r="F98" s="220"/>
      <c r="G98" s="220"/>
      <c r="H98" s="220">
        <v>5.0493251015721317</v>
      </c>
      <c r="I98" s="220">
        <v>12.113743621380518</v>
      </c>
      <c r="J98" s="16"/>
      <c r="K98" s="220"/>
      <c r="L98" s="220"/>
      <c r="M98" s="220">
        <v>4.6625305587049688</v>
      </c>
      <c r="N98" s="220">
        <v>14.189659980856325</v>
      </c>
      <c r="O98" s="17">
        <f t="shared" si="3"/>
        <v>18.852190539561292</v>
      </c>
    </row>
    <row r="99" spans="2:15" x14ac:dyDescent="0.2">
      <c r="B99" s="19">
        <v>0.51041666666666663</v>
      </c>
      <c r="C99" s="19">
        <v>0.52083333333333337</v>
      </c>
      <c r="D99" s="20">
        <v>50</v>
      </c>
      <c r="E99" s="58" t="str">
        <f t="shared" si="4"/>
        <v>FP</v>
      </c>
      <c r="F99" s="220"/>
      <c r="G99" s="220"/>
      <c r="H99" s="220">
        <v>4.8440467918739092</v>
      </c>
      <c r="I99" s="220">
        <v>12.188330506954387</v>
      </c>
      <c r="J99" s="16"/>
      <c r="K99" s="220"/>
      <c r="L99" s="220"/>
      <c r="M99" s="220">
        <v>4.3632538378496211</v>
      </c>
      <c r="N99" s="220">
        <v>15.268850587508402</v>
      </c>
      <c r="O99" s="17">
        <f t="shared" si="3"/>
        <v>19.632104425358023</v>
      </c>
    </row>
    <row r="100" spans="2:15" x14ac:dyDescent="0.2">
      <c r="B100" s="19">
        <v>0.52083333333333337</v>
      </c>
      <c r="C100" s="19">
        <v>0.53125</v>
      </c>
      <c r="D100" s="20">
        <v>51</v>
      </c>
      <c r="E100" s="58" t="str">
        <f t="shared" si="4"/>
        <v>FP</v>
      </c>
      <c r="F100" s="220"/>
      <c r="G100" s="220"/>
      <c r="H100" s="220">
        <v>4.6556837542138609</v>
      </c>
      <c r="I100" s="220">
        <v>11.315157247042139</v>
      </c>
      <c r="J100" s="16"/>
      <c r="K100" s="220"/>
      <c r="L100" s="220"/>
      <c r="M100" s="220">
        <v>4.2229989172279803</v>
      </c>
      <c r="N100" s="220">
        <v>15.096551873804581</v>
      </c>
      <c r="O100" s="17">
        <f t="shared" si="3"/>
        <v>19.319550791032562</v>
      </c>
    </row>
    <row r="101" spans="2:15" x14ac:dyDescent="0.2">
      <c r="B101" s="19">
        <v>0.53125</v>
      </c>
      <c r="C101" s="19">
        <v>0.54166666666666663</v>
      </c>
      <c r="D101" s="20">
        <v>52</v>
      </c>
      <c r="E101" s="58" t="str">
        <f t="shared" si="4"/>
        <v>FP</v>
      </c>
      <c r="F101" s="220"/>
      <c r="G101" s="220"/>
      <c r="H101" s="220">
        <v>4.361502458691227</v>
      </c>
      <c r="I101" s="220">
        <v>11.641344232519261</v>
      </c>
      <c r="J101" s="16"/>
      <c r="K101" s="220"/>
      <c r="L101" s="220"/>
      <c r="M101" s="220">
        <v>4.3758126974943723</v>
      </c>
      <c r="N101" s="220">
        <v>14.353409043332789</v>
      </c>
      <c r="O101" s="17">
        <f t="shared" si="3"/>
        <v>18.72922174082716</v>
      </c>
    </row>
    <row r="102" spans="2:15" x14ac:dyDescent="0.2">
      <c r="B102" s="19">
        <v>0.54166666666666663</v>
      </c>
      <c r="C102" s="19">
        <v>0.55208333333333337</v>
      </c>
      <c r="D102" s="20">
        <v>53</v>
      </c>
      <c r="E102" s="58" t="str">
        <f t="shared" si="4"/>
        <v>FP</v>
      </c>
      <c r="F102" s="220"/>
      <c r="G102" s="220"/>
      <c r="H102" s="220">
        <v>3.8233779366760863</v>
      </c>
      <c r="I102" s="220">
        <v>10.641417396973926</v>
      </c>
      <c r="J102" s="16"/>
      <c r="K102" s="220"/>
      <c r="L102" s="220"/>
      <c r="M102" s="220">
        <v>4.7134273042840089</v>
      </c>
      <c r="N102" s="220">
        <v>11.923480059012887</v>
      </c>
      <c r="O102" s="17">
        <f t="shared" si="3"/>
        <v>16.636907363296896</v>
      </c>
    </row>
    <row r="103" spans="2:15" x14ac:dyDescent="0.2">
      <c r="B103" s="19">
        <v>0.55208333333333337</v>
      </c>
      <c r="C103" s="19">
        <v>0.5625</v>
      </c>
      <c r="D103" s="20">
        <v>54</v>
      </c>
      <c r="E103" s="58" t="str">
        <f t="shared" si="4"/>
        <v>FP</v>
      </c>
      <c r="F103" s="220"/>
      <c r="G103" s="220"/>
      <c r="H103" s="220">
        <v>4.0071916172973348</v>
      </c>
      <c r="I103" s="220">
        <v>11.040465250930142</v>
      </c>
      <c r="J103" s="16"/>
      <c r="K103" s="220"/>
      <c r="L103" s="220"/>
      <c r="M103" s="220">
        <v>5.0588745546852056</v>
      </c>
      <c r="N103" s="220">
        <v>12.13463805523388</v>
      </c>
      <c r="O103" s="17">
        <f t="shared" si="3"/>
        <v>17.193512609919086</v>
      </c>
    </row>
    <row r="104" spans="2:15" x14ac:dyDescent="0.2">
      <c r="B104" s="19">
        <v>0.5625</v>
      </c>
      <c r="C104" s="19">
        <v>0.57291666666666663</v>
      </c>
      <c r="D104" s="20">
        <v>55</v>
      </c>
      <c r="E104" s="58" t="str">
        <f t="shared" si="4"/>
        <v>FP</v>
      </c>
      <c r="F104" s="220"/>
      <c r="G104" s="220"/>
      <c r="H104" s="220">
        <v>4.3845035910720904</v>
      </c>
      <c r="I104" s="220">
        <v>11.363459754072517</v>
      </c>
      <c r="J104" s="16"/>
      <c r="K104" s="220"/>
      <c r="L104" s="220"/>
      <c r="M104" s="220">
        <v>5.3227435063211006</v>
      </c>
      <c r="N104" s="220">
        <v>13.213628816912104</v>
      </c>
      <c r="O104" s="17">
        <f t="shared" si="3"/>
        <v>18.536372323233206</v>
      </c>
    </row>
    <row r="105" spans="2:15" x14ac:dyDescent="0.2">
      <c r="B105" s="19">
        <v>0.57291666666666663</v>
      </c>
      <c r="C105" s="19">
        <v>0.58333333333333337</v>
      </c>
      <c r="D105" s="20">
        <v>56</v>
      </c>
      <c r="E105" s="58" t="str">
        <f t="shared" si="4"/>
        <v>FP</v>
      </c>
      <c r="F105" s="220"/>
      <c r="G105" s="220"/>
      <c r="H105" s="220">
        <v>4.7104155270342671</v>
      </c>
      <c r="I105" s="220">
        <v>11.689464499847494</v>
      </c>
      <c r="J105" s="16"/>
      <c r="K105" s="220"/>
      <c r="L105" s="220"/>
      <c r="M105" s="220">
        <v>5.5519992984388091</v>
      </c>
      <c r="N105" s="220">
        <v>13.40311726973888</v>
      </c>
      <c r="O105" s="17">
        <f t="shared" si="3"/>
        <v>18.95511656817769</v>
      </c>
    </row>
    <row r="106" spans="2:15" x14ac:dyDescent="0.2">
      <c r="B106" s="19">
        <v>0.58333333333333337</v>
      </c>
      <c r="C106" s="19">
        <v>0.59375</v>
      </c>
      <c r="D106" s="20">
        <v>57</v>
      </c>
      <c r="E106" s="58" t="str">
        <f t="shared" si="4"/>
        <v>FP</v>
      </c>
      <c r="F106" s="220"/>
      <c r="G106" s="220"/>
      <c r="H106" s="220">
        <v>4.7466050583809682</v>
      </c>
      <c r="I106" s="220">
        <v>12.246797945681235</v>
      </c>
      <c r="J106" s="16"/>
      <c r="K106" s="220"/>
      <c r="L106" s="220"/>
      <c r="M106" s="220">
        <v>5.6146581952146786</v>
      </c>
      <c r="N106" s="220">
        <v>14.022420806612537</v>
      </c>
      <c r="O106" s="17">
        <f t="shared" si="3"/>
        <v>19.637079001827217</v>
      </c>
    </row>
    <row r="107" spans="2:15" x14ac:dyDescent="0.2">
      <c r="B107" s="19">
        <v>0.59375</v>
      </c>
      <c r="C107" s="19">
        <v>0.60416666666666663</v>
      </c>
      <c r="D107" s="20">
        <v>58</v>
      </c>
      <c r="E107" s="58" t="str">
        <f t="shared" si="4"/>
        <v>FP</v>
      </c>
      <c r="F107" s="220"/>
      <c r="G107" s="220"/>
      <c r="H107" s="220">
        <v>4.8292559345841246</v>
      </c>
      <c r="I107" s="220">
        <v>11.70343416476018</v>
      </c>
      <c r="J107" s="16"/>
      <c r="K107" s="220"/>
      <c r="L107" s="220"/>
      <c r="M107" s="220">
        <v>5.670890075881502</v>
      </c>
      <c r="N107" s="220">
        <v>13.362119565758478</v>
      </c>
      <c r="O107" s="17">
        <f t="shared" si="3"/>
        <v>19.033009641639978</v>
      </c>
    </row>
    <row r="108" spans="2:15" x14ac:dyDescent="0.2">
      <c r="B108" s="19">
        <v>0.60416666666666663</v>
      </c>
      <c r="C108" s="19">
        <v>0.61458333333333337</v>
      </c>
      <c r="D108" s="20">
        <v>59</v>
      </c>
      <c r="E108" s="58" t="str">
        <f t="shared" si="4"/>
        <v>FP</v>
      </c>
      <c r="F108" s="220"/>
      <c r="G108" s="220"/>
      <c r="H108" s="220">
        <v>5.0612699464614082</v>
      </c>
      <c r="I108" s="220">
        <v>12.248249014241624</v>
      </c>
      <c r="J108" s="16"/>
      <c r="K108" s="220"/>
      <c r="L108" s="220"/>
      <c r="M108" s="220">
        <v>5.6021308329140105</v>
      </c>
      <c r="N108" s="220">
        <v>13.93020310539517</v>
      </c>
      <c r="O108" s="17">
        <f t="shared" si="3"/>
        <v>19.532333938309179</v>
      </c>
    </row>
    <row r="109" spans="2:15" x14ac:dyDescent="0.2">
      <c r="B109" s="19">
        <v>0.61458333333333337</v>
      </c>
      <c r="C109" s="19">
        <v>0.625</v>
      </c>
      <c r="D109" s="20">
        <v>60</v>
      </c>
      <c r="E109" s="58" t="str">
        <f t="shared" si="4"/>
        <v>FP</v>
      </c>
      <c r="F109" s="220"/>
      <c r="G109" s="220"/>
      <c r="H109" s="220">
        <v>5.2925386784531572</v>
      </c>
      <c r="I109" s="220">
        <v>12.659404849899548</v>
      </c>
      <c r="J109" s="16"/>
      <c r="K109" s="220"/>
      <c r="L109" s="220"/>
      <c r="M109" s="220">
        <v>5.5834350362368497</v>
      </c>
      <c r="N109" s="220">
        <v>15.545721712879518</v>
      </c>
      <c r="O109" s="17">
        <f t="shared" si="3"/>
        <v>21.129156749116369</v>
      </c>
    </row>
    <row r="110" spans="2:15" x14ac:dyDescent="0.2">
      <c r="B110" s="19">
        <v>0.625</v>
      </c>
      <c r="C110" s="19">
        <v>0.63541666666666663</v>
      </c>
      <c r="D110" s="20">
        <v>61</v>
      </c>
      <c r="E110" s="58" t="str">
        <f t="shared" si="4"/>
        <v>FP</v>
      </c>
      <c r="F110" s="220"/>
      <c r="G110" s="220"/>
      <c r="H110" s="220">
        <v>5.3414089800924689</v>
      </c>
      <c r="I110" s="220">
        <v>12.461740578811618</v>
      </c>
      <c r="J110" s="16"/>
      <c r="K110" s="220"/>
      <c r="L110" s="220"/>
      <c r="M110" s="220">
        <v>5.677324889641592</v>
      </c>
      <c r="N110" s="220">
        <v>14.489745211620782</v>
      </c>
      <c r="O110" s="17">
        <f t="shared" si="3"/>
        <v>20.167070101262375</v>
      </c>
    </row>
    <row r="111" spans="2:15" x14ac:dyDescent="0.2">
      <c r="B111" s="19">
        <v>0.63541666666666663</v>
      </c>
      <c r="C111" s="19">
        <v>0.64583333333333337</v>
      </c>
      <c r="D111" s="20">
        <v>62</v>
      </c>
      <c r="E111" s="58" t="str">
        <f t="shared" si="4"/>
        <v>FP</v>
      </c>
      <c r="F111" s="220"/>
      <c r="G111" s="220"/>
      <c r="H111" s="220">
        <v>5.7934164942220017</v>
      </c>
      <c r="I111" s="220">
        <v>12.78317453807043</v>
      </c>
      <c r="J111" s="16"/>
      <c r="K111" s="220"/>
      <c r="L111" s="220"/>
      <c r="M111" s="220">
        <v>5.6061246428680569</v>
      </c>
      <c r="N111" s="220">
        <v>13.260346349798629</v>
      </c>
      <c r="O111" s="17">
        <f t="shared" si="3"/>
        <v>18.866470992666684</v>
      </c>
    </row>
    <row r="112" spans="2:15" x14ac:dyDescent="0.2">
      <c r="B112" s="19">
        <v>0.64583333333333337</v>
      </c>
      <c r="C112" s="19">
        <v>0.65625</v>
      </c>
      <c r="D112" s="20">
        <v>63</v>
      </c>
      <c r="E112" s="58" t="str">
        <f t="shared" si="4"/>
        <v>FP</v>
      </c>
      <c r="F112" s="220"/>
      <c r="G112" s="220"/>
      <c r="H112" s="220">
        <v>5.1815135263410363</v>
      </c>
      <c r="I112" s="220">
        <v>12.922141735256616</v>
      </c>
      <c r="J112" s="16"/>
      <c r="K112" s="220"/>
      <c r="L112" s="220"/>
      <c r="M112" s="220">
        <v>5.6706858597595158</v>
      </c>
      <c r="N112" s="220">
        <v>14.581220920351933</v>
      </c>
      <c r="O112" s="17">
        <f t="shared" si="3"/>
        <v>20.251906780111447</v>
      </c>
    </row>
    <row r="113" spans="2:15" x14ac:dyDescent="0.2">
      <c r="B113" s="19">
        <v>0.65625</v>
      </c>
      <c r="C113" s="19">
        <v>0.66666666666666663</v>
      </c>
      <c r="D113" s="20">
        <v>64</v>
      </c>
      <c r="E113" s="58" t="str">
        <f t="shared" si="4"/>
        <v>FP</v>
      </c>
      <c r="F113" s="220"/>
      <c r="G113" s="220"/>
      <c r="H113" s="220">
        <v>4.2821268353692048</v>
      </c>
      <c r="I113" s="220">
        <v>13.310138608742047</v>
      </c>
      <c r="J113" s="16"/>
      <c r="K113" s="220"/>
      <c r="L113" s="220"/>
      <c r="M113" s="220">
        <v>5.6311366095422732</v>
      </c>
      <c r="N113" s="220">
        <v>14.651663243366405</v>
      </c>
      <c r="O113" s="17">
        <f t="shared" si="3"/>
        <v>20.282799852908678</v>
      </c>
    </row>
    <row r="114" spans="2:15" x14ac:dyDescent="0.2">
      <c r="B114" s="19">
        <v>0.66666666666666663</v>
      </c>
      <c r="C114" s="19">
        <v>0.67708333333333337</v>
      </c>
      <c r="D114" s="20">
        <v>65</v>
      </c>
      <c r="E114" s="58" t="str">
        <f t="shared" si="4"/>
        <v>FP</v>
      </c>
      <c r="F114" s="220"/>
      <c r="G114" s="220"/>
      <c r="H114" s="220">
        <v>4.5753873656567086</v>
      </c>
      <c r="I114" s="220">
        <v>13.475099565295489</v>
      </c>
      <c r="J114" s="16"/>
      <c r="K114" s="220"/>
      <c r="L114" s="220"/>
      <c r="M114" s="220">
        <v>5.8137450530174988</v>
      </c>
      <c r="N114" s="220">
        <v>14.261317894134358</v>
      </c>
      <c r="O114" s="17">
        <f t="shared" ref="O114:O145" si="5">SUM(K114:N114)</f>
        <v>20.075062947151856</v>
      </c>
    </row>
    <row r="115" spans="2:15" x14ac:dyDescent="0.2">
      <c r="B115" s="19">
        <v>0.67708333333333337</v>
      </c>
      <c r="C115" s="19">
        <v>0.6875</v>
      </c>
      <c r="D115" s="20">
        <v>66</v>
      </c>
      <c r="E115" s="58" t="str">
        <f t="shared" ref="E115:E145" si="6">IF(B115&gt;=$J$23,(IF(B115&lt;$K$23,"P","FP")),"FP")</f>
        <v>FP</v>
      </c>
      <c r="F115" s="220"/>
      <c r="G115" s="220"/>
      <c r="H115" s="220">
        <v>4.9250440561289448</v>
      </c>
      <c r="I115" s="220">
        <v>14.473015243815215</v>
      </c>
      <c r="J115" s="16"/>
      <c r="K115" s="220"/>
      <c r="L115" s="220"/>
      <c r="M115" s="220">
        <v>5.7188722919756989</v>
      </c>
      <c r="N115" s="220">
        <v>13.345238276718563</v>
      </c>
      <c r="O115" s="17">
        <f t="shared" si="5"/>
        <v>19.064110568694261</v>
      </c>
    </row>
    <row r="116" spans="2:15" x14ac:dyDescent="0.2">
      <c r="B116" s="19">
        <v>0.6875</v>
      </c>
      <c r="C116" s="19">
        <v>0.69791666666666663</v>
      </c>
      <c r="D116" s="20">
        <v>67</v>
      </c>
      <c r="E116" s="58" t="str">
        <f t="shared" si="6"/>
        <v>FP</v>
      </c>
      <c r="F116" s="220"/>
      <c r="G116" s="220"/>
      <c r="H116" s="220">
        <v>5.0281762750777315</v>
      </c>
      <c r="I116" s="220">
        <v>14.68620002543503</v>
      </c>
      <c r="J116" s="16"/>
      <c r="K116" s="220"/>
      <c r="L116" s="220"/>
      <c r="M116" s="220">
        <v>5.6674591739976092</v>
      </c>
      <c r="N116" s="220">
        <v>13.409206951653189</v>
      </c>
      <c r="O116" s="17">
        <f t="shared" si="5"/>
        <v>19.076666125650799</v>
      </c>
    </row>
    <row r="117" spans="2:15" x14ac:dyDescent="0.2">
      <c r="B117" s="19">
        <v>0.69791666666666663</v>
      </c>
      <c r="C117" s="19">
        <v>0.70833333333333337</v>
      </c>
      <c r="D117" s="20">
        <v>68</v>
      </c>
      <c r="E117" s="58" t="str">
        <f t="shared" si="6"/>
        <v>FP</v>
      </c>
      <c r="F117" s="220"/>
      <c r="G117" s="220"/>
      <c r="H117" s="220">
        <v>5.1110690652952115</v>
      </c>
      <c r="I117" s="220">
        <v>14.670116796400135</v>
      </c>
      <c r="J117" s="16"/>
      <c r="K117" s="220"/>
      <c r="L117" s="220"/>
      <c r="M117" s="220">
        <v>5.4525572107486546</v>
      </c>
      <c r="N117" s="220">
        <v>14.173237215250301</v>
      </c>
      <c r="O117" s="17">
        <f t="shared" si="5"/>
        <v>19.625794425998954</v>
      </c>
    </row>
    <row r="118" spans="2:15" x14ac:dyDescent="0.2">
      <c r="B118" s="19">
        <v>0.70833333333333337</v>
      </c>
      <c r="C118" s="19">
        <v>0.71875</v>
      </c>
      <c r="D118" s="20">
        <v>69</v>
      </c>
      <c r="E118" s="58" t="str">
        <f t="shared" si="6"/>
        <v>FP</v>
      </c>
      <c r="F118" s="220"/>
      <c r="G118" s="220"/>
      <c r="H118" s="220">
        <v>5.1715669883072204</v>
      </c>
      <c r="I118" s="220">
        <v>15.434273893901709</v>
      </c>
      <c r="J118" s="16"/>
      <c r="K118" s="220"/>
      <c r="L118" s="220"/>
      <c r="M118" s="220">
        <v>5.099408633699908</v>
      </c>
      <c r="N118" s="220">
        <v>15.320718637409843</v>
      </c>
      <c r="O118" s="17">
        <f t="shared" si="5"/>
        <v>20.420127271109752</v>
      </c>
    </row>
    <row r="119" spans="2:15" x14ac:dyDescent="0.2">
      <c r="B119" s="19">
        <v>0.71875</v>
      </c>
      <c r="C119" s="19">
        <v>0.72916666666666663</v>
      </c>
      <c r="D119" s="20">
        <v>70</v>
      </c>
      <c r="E119" s="58" t="str">
        <f t="shared" si="6"/>
        <v>FP</v>
      </c>
      <c r="F119" s="220"/>
      <c r="G119" s="220"/>
      <c r="H119" s="220">
        <v>5.2942882034466052</v>
      </c>
      <c r="I119" s="220">
        <v>16.102351108222063</v>
      </c>
      <c r="J119" s="16"/>
      <c r="K119" s="220"/>
      <c r="L119" s="220"/>
      <c r="M119" s="220">
        <v>4.8407338055926452</v>
      </c>
      <c r="N119" s="220">
        <v>15.385144367866022</v>
      </c>
      <c r="O119" s="17">
        <f t="shared" si="5"/>
        <v>20.225878173458668</v>
      </c>
    </row>
    <row r="120" spans="2:15" x14ac:dyDescent="0.2">
      <c r="B120" s="19">
        <v>0.72916666666666663</v>
      </c>
      <c r="C120" s="19">
        <v>0.73958333333333337</v>
      </c>
      <c r="D120" s="20">
        <v>71</v>
      </c>
      <c r="E120" s="58" t="str">
        <f t="shared" si="6"/>
        <v>FP</v>
      </c>
      <c r="F120" s="220"/>
      <c r="G120" s="220"/>
      <c r="H120" s="220">
        <v>5.5370498049029271</v>
      </c>
      <c r="I120" s="220">
        <v>16.2193237376766</v>
      </c>
      <c r="J120" s="16"/>
      <c r="K120" s="220"/>
      <c r="L120" s="220"/>
      <c r="M120" s="220">
        <v>4.8034632937763222</v>
      </c>
      <c r="N120" s="220">
        <v>15.579505561580371</v>
      </c>
      <c r="O120" s="17">
        <f t="shared" si="5"/>
        <v>20.382968855356694</v>
      </c>
    </row>
    <row r="121" spans="2:15" x14ac:dyDescent="0.2">
      <c r="B121" s="19">
        <v>0.73958333333333337</v>
      </c>
      <c r="C121" s="19">
        <v>0.75</v>
      </c>
      <c r="D121" s="20">
        <v>72</v>
      </c>
      <c r="E121" s="58" t="str">
        <f t="shared" si="6"/>
        <v>FP</v>
      </c>
      <c r="F121" s="220"/>
      <c r="G121" s="220"/>
      <c r="H121" s="220">
        <v>5.8260895691402483</v>
      </c>
      <c r="I121" s="220">
        <v>16.865183488562259</v>
      </c>
      <c r="J121" s="16"/>
      <c r="K121" s="220"/>
      <c r="L121" s="220"/>
      <c r="M121" s="220">
        <v>4.0620204958449415</v>
      </c>
      <c r="N121" s="220">
        <v>17.175674435357823</v>
      </c>
      <c r="O121" s="17">
        <f t="shared" si="5"/>
        <v>21.237694931202764</v>
      </c>
    </row>
    <row r="122" spans="2:15" x14ac:dyDescent="0.2">
      <c r="B122" s="19">
        <v>0.75</v>
      </c>
      <c r="C122" s="19">
        <v>0.76041666666666663</v>
      </c>
      <c r="D122" s="20">
        <v>73</v>
      </c>
      <c r="E122" s="58" t="str">
        <f t="shared" si="6"/>
        <v>P</v>
      </c>
      <c r="F122" s="220"/>
      <c r="G122" s="220"/>
      <c r="H122" s="220">
        <v>5.9661162211132988</v>
      </c>
      <c r="I122" s="220">
        <v>17.146486358631766</v>
      </c>
      <c r="J122" s="16"/>
      <c r="K122" s="220"/>
      <c r="L122" s="220"/>
      <c r="M122" s="220">
        <v>2.2821627724721671</v>
      </c>
      <c r="N122" s="220">
        <v>19.020069319595642</v>
      </c>
      <c r="O122" s="17">
        <f t="shared" si="5"/>
        <v>21.302232092067808</v>
      </c>
    </row>
    <row r="123" spans="2:15" x14ac:dyDescent="0.2">
      <c r="B123" s="19">
        <v>0.76041666666666663</v>
      </c>
      <c r="C123" s="19">
        <v>0.77083333333333337</v>
      </c>
      <c r="D123" s="20">
        <v>74</v>
      </c>
      <c r="E123" s="58" t="str">
        <f t="shared" si="6"/>
        <v>P</v>
      </c>
      <c r="F123" s="220"/>
      <c r="G123" s="220"/>
      <c r="H123" s="220">
        <v>6.4625667617565936</v>
      </c>
      <c r="I123" s="220">
        <v>18.811940641648619</v>
      </c>
      <c r="J123" s="16"/>
      <c r="K123" s="220"/>
      <c r="L123" s="220"/>
      <c r="M123" s="220">
        <v>1.9662220596519842</v>
      </c>
      <c r="N123" s="220">
        <v>20.290049949415501</v>
      </c>
      <c r="O123" s="17">
        <f t="shared" si="5"/>
        <v>22.256272009067484</v>
      </c>
    </row>
    <row r="124" spans="2:15" x14ac:dyDescent="0.2">
      <c r="B124" s="19">
        <v>0.77083333333333337</v>
      </c>
      <c r="C124" s="19">
        <v>0.78125</v>
      </c>
      <c r="D124" s="20">
        <v>75</v>
      </c>
      <c r="E124" s="58" t="str">
        <f t="shared" si="6"/>
        <v>P</v>
      </c>
      <c r="F124" s="220"/>
      <c r="G124" s="220"/>
      <c r="H124" s="220">
        <v>7.2565939197270639</v>
      </c>
      <c r="I124" s="220">
        <v>18.646112813679782</v>
      </c>
      <c r="J124" s="16"/>
      <c r="K124" s="220"/>
      <c r="L124" s="220"/>
      <c r="M124" s="220">
        <v>1.9930292377132781</v>
      </c>
      <c r="N124" s="220">
        <v>23.14980305519672</v>
      </c>
      <c r="O124" s="17">
        <f t="shared" si="5"/>
        <v>25.142832292909997</v>
      </c>
    </row>
    <row r="125" spans="2:15" x14ac:dyDescent="0.2">
      <c r="B125" s="19">
        <v>0.78125</v>
      </c>
      <c r="C125" s="19">
        <v>0.79166666666666663</v>
      </c>
      <c r="D125" s="20">
        <v>76</v>
      </c>
      <c r="E125" s="58" t="str">
        <f t="shared" si="6"/>
        <v>P</v>
      </c>
      <c r="F125" s="220"/>
      <c r="G125" s="220"/>
      <c r="H125" s="220">
        <v>7.6619248174984094</v>
      </c>
      <c r="I125" s="220">
        <v>20.438672659054486</v>
      </c>
      <c r="J125" s="16"/>
      <c r="K125" s="220"/>
      <c r="L125" s="220"/>
      <c r="M125" s="220">
        <v>1.9474737862362559</v>
      </c>
      <c r="N125" s="220">
        <v>20.389274197725179</v>
      </c>
      <c r="O125" s="17">
        <f t="shared" si="5"/>
        <v>22.336747983961434</v>
      </c>
    </row>
    <row r="126" spans="2:15" x14ac:dyDescent="0.2">
      <c r="B126" s="19">
        <v>0.79166666666666663</v>
      </c>
      <c r="C126" s="19">
        <v>0.80208333333333337</v>
      </c>
      <c r="D126" s="20">
        <v>77</v>
      </c>
      <c r="E126" s="58" t="str">
        <f t="shared" si="6"/>
        <v>P</v>
      </c>
      <c r="F126" s="220"/>
      <c r="G126" s="220"/>
      <c r="H126" s="220">
        <v>7.6554976961722261</v>
      </c>
      <c r="I126" s="220">
        <v>22.366975384864844</v>
      </c>
      <c r="J126" s="16"/>
      <c r="K126" s="220"/>
      <c r="L126" s="220"/>
      <c r="M126" s="220">
        <v>1.8914353615787416</v>
      </c>
      <c r="N126" s="220">
        <v>20.798442058477388</v>
      </c>
      <c r="O126" s="17">
        <f t="shared" si="5"/>
        <v>22.689877420056128</v>
      </c>
    </row>
    <row r="127" spans="2:15" x14ac:dyDescent="0.2">
      <c r="B127" s="19">
        <v>0.80208333333333337</v>
      </c>
      <c r="C127" s="19">
        <v>0.8125</v>
      </c>
      <c r="D127" s="20">
        <v>78</v>
      </c>
      <c r="E127" s="58" t="str">
        <f t="shared" si="6"/>
        <v>P</v>
      </c>
      <c r="F127" s="220"/>
      <c r="G127" s="220"/>
      <c r="H127" s="220">
        <v>7.554089899049468</v>
      </c>
      <c r="I127" s="220">
        <v>23.952273074562026</v>
      </c>
      <c r="J127" s="16"/>
      <c r="K127" s="220"/>
      <c r="L127" s="220"/>
      <c r="M127" s="220">
        <v>1.9167529541990698</v>
      </c>
      <c r="N127" s="220">
        <v>19.261132402671024</v>
      </c>
      <c r="O127" s="17">
        <f t="shared" si="5"/>
        <v>21.177885356870092</v>
      </c>
    </row>
    <row r="128" spans="2:15" x14ac:dyDescent="0.2">
      <c r="B128" s="19">
        <v>0.8125</v>
      </c>
      <c r="C128" s="19">
        <v>0.82291666666666663</v>
      </c>
      <c r="D128" s="20">
        <v>79</v>
      </c>
      <c r="E128" s="58" t="str">
        <f t="shared" si="6"/>
        <v>P</v>
      </c>
      <c r="F128" s="220"/>
      <c r="G128" s="220"/>
      <c r="H128" s="220">
        <v>7.2456546224685399</v>
      </c>
      <c r="I128" s="220">
        <v>21.922515709376128</v>
      </c>
      <c r="J128" s="16"/>
      <c r="K128" s="220"/>
      <c r="L128" s="220"/>
      <c r="M128" s="220">
        <v>1.9199959617522984</v>
      </c>
      <c r="N128" s="220">
        <v>21.95212602498156</v>
      </c>
      <c r="O128" s="17">
        <f t="shared" si="5"/>
        <v>23.872121986733859</v>
      </c>
    </row>
    <row r="129" spans="2:15" x14ac:dyDescent="0.2">
      <c r="B129" s="19">
        <v>0.82291666666666663</v>
      </c>
      <c r="C129" s="19">
        <v>0.83333333333333337</v>
      </c>
      <c r="D129" s="20">
        <v>80</v>
      </c>
      <c r="E129" s="58" t="str">
        <f t="shared" si="6"/>
        <v>P</v>
      </c>
      <c r="F129" s="220"/>
      <c r="G129" s="220"/>
      <c r="H129" s="220">
        <v>7.1948093409736806</v>
      </c>
      <c r="I129" s="220">
        <v>22.313136429108262</v>
      </c>
      <c r="J129" s="16"/>
      <c r="K129" s="220"/>
      <c r="L129" s="220"/>
      <c r="M129" s="220">
        <v>1.8390043999038292</v>
      </c>
      <c r="N129" s="220">
        <v>22.628578897898791</v>
      </c>
      <c r="O129" s="17">
        <f t="shared" si="5"/>
        <v>24.467583297802619</v>
      </c>
    </row>
    <row r="130" spans="2:15" x14ac:dyDescent="0.2">
      <c r="B130" s="19">
        <v>0.83333333333333337</v>
      </c>
      <c r="C130" s="19">
        <v>0.84375</v>
      </c>
      <c r="D130" s="20">
        <v>81</v>
      </c>
      <c r="E130" s="58" t="str">
        <f t="shared" si="6"/>
        <v>P</v>
      </c>
      <c r="F130" s="220"/>
      <c r="G130" s="220"/>
      <c r="H130" s="220">
        <v>7.0756614196229446</v>
      </c>
      <c r="I130" s="220">
        <v>23.215367990342319</v>
      </c>
      <c r="J130" s="16"/>
      <c r="K130" s="220"/>
      <c r="L130" s="220"/>
      <c r="M130" s="220">
        <v>1.7796851902532309</v>
      </c>
      <c r="N130" s="220">
        <v>21.595244111855184</v>
      </c>
      <c r="O130" s="17">
        <f t="shared" si="5"/>
        <v>23.374929302108416</v>
      </c>
    </row>
    <row r="131" spans="2:15" x14ac:dyDescent="0.2">
      <c r="B131" s="19">
        <v>0.84375</v>
      </c>
      <c r="C131" s="19">
        <v>0.85416666666666663</v>
      </c>
      <c r="D131" s="20">
        <v>82</v>
      </c>
      <c r="E131" s="58" t="str">
        <f t="shared" si="6"/>
        <v>P</v>
      </c>
      <c r="F131" s="220"/>
      <c r="G131" s="220"/>
      <c r="H131" s="220">
        <v>6.6999183938118563</v>
      </c>
      <c r="I131" s="220">
        <v>21.430287095774503</v>
      </c>
      <c r="J131" s="16"/>
      <c r="K131" s="220"/>
      <c r="L131" s="220"/>
      <c r="M131" s="220">
        <v>1.7256558473394108</v>
      </c>
      <c r="N131" s="220">
        <v>22.130626294362902</v>
      </c>
      <c r="O131" s="17">
        <f t="shared" si="5"/>
        <v>23.856282141702312</v>
      </c>
    </row>
    <row r="132" spans="2:15" x14ac:dyDescent="0.2">
      <c r="B132" s="19">
        <v>0.85416666666666663</v>
      </c>
      <c r="C132" s="19">
        <v>0.86458333333333337</v>
      </c>
      <c r="D132" s="20">
        <v>83</v>
      </c>
      <c r="E132" s="58" t="str">
        <f t="shared" si="6"/>
        <v>P</v>
      </c>
      <c r="F132" s="220"/>
      <c r="G132" s="220"/>
      <c r="H132" s="220">
        <v>5.6645164659737777</v>
      </c>
      <c r="I132" s="220">
        <v>21.890294842399481</v>
      </c>
      <c r="J132" s="16"/>
      <c r="K132" s="220"/>
      <c r="L132" s="220"/>
      <c r="M132" s="220">
        <v>1.6172980658966092</v>
      </c>
      <c r="N132" s="220">
        <v>21.600721692845095</v>
      </c>
      <c r="O132" s="17">
        <f t="shared" si="5"/>
        <v>23.218019758741704</v>
      </c>
    </row>
    <row r="133" spans="2:15" x14ac:dyDescent="0.2">
      <c r="B133" s="19">
        <v>0.86458333333333337</v>
      </c>
      <c r="C133" s="19">
        <v>0.875</v>
      </c>
      <c r="D133" s="20">
        <v>84</v>
      </c>
      <c r="E133" s="58" t="str">
        <f t="shared" si="6"/>
        <v>P</v>
      </c>
      <c r="F133" s="220"/>
      <c r="G133" s="220"/>
      <c r="H133" s="220">
        <v>5.2546574067625382</v>
      </c>
      <c r="I133" s="220">
        <v>21.373782432336338</v>
      </c>
      <c r="J133" s="16"/>
      <c r="K133" s="220"/>
      <c r="L133" s="220"/>
      <c r="M133" s="220">
        <v>1.6604254289316429</v>
      </c>
      <c r="N133" s="220">
        <v>20.424616314950306</v>
      </c>
      <c r="O133" s="17">
        <f t="shared" si="5"/>
        <v>22.085041743881948</v>
      </c>
    </row>
    <row r="134" spans="2:15" x14ac:dyDescent="0.2">
      <c r="B134" s="19">
        <v>0.875</v>
      </c>
      <c r="C134" s="19">
        <v>0.88541666666666663</v>
      </c>
      <c r="D134" s="20">
        <v>85</v>
      </c>
      <c r="E134" s="58" t="str">
        <f t="shared" si="6"/>
        <v>FP</v>
      </c>
      <c r="F134" s="220"/>
      <c r="G134" s="220"/>
      <c r="H134" s="220">
        <v>5.1269470555098584</v>
      </c>
      <c r="I134" s="220">
        <v>21.177122397346089</v>
      </c>
      <c r="J134" s="16"/>
      <c r="K134" s="220"/>
      <c r="L134" s="220"/>
      <c r="M134" s="220">
        <v>2.5365711634344263</v>
      </c>
      <c r="N134" s="220">
        <v>19.172335158978459</v>
      </c>
      <c r="O134" s="17">
        <f t="shared" si="5"/>
        <v>21.708906322412886</v>
      </c>
    </row>
    <row r="135" spans="2:15" x14ac:dyDescent="0.2">
      <c r="B135" s="19">
        <v>0.88541666666666663</v>
      </c>
      <c r="C135" s="19">
        <v>0.89583333333333337</v>
      </c>
      <c r="D135" s="20">
        <v>86</v>
      </c>
      <c r="E135" s="58" t="str">
        <f t="shared" si="6"/>
        <v>FP</v>
      </c>
      <c r="F135" s="220"/>
      <c r="G135" s="220"/>
      <c r="H135" s="220">
        <v>5.1167563536495466</v>
      </c>
      <c r="I135" s="220">
        <v>18.520216739952446</v>
      </c>
      <c r="J135" s="16"/>
      <c r="K135" s="220"/>
      <c r="L135" s="220"/>
      <c r="M135" s="220">
        <v>3.3449128591508819</v>
      </c>
      <c r="N135" s="220">
        <v>18.450517502047564</v>
      </c>
      <c r="O135" s="17">
        <f t="shared" si="5"/>
        <v>21.795430361198445</v>
      </c>
    </row>
    <row r="136" spans="2:15" x14ac:dyDescent="0.2">
      <c r="B136" s="19">
        <v>0.89583333333333337</v>
      </c>
      <c r="C136" s="19">
        <v>0.90625</v>
      </c>
      <c r="D136" s="20">
        <v>87</v>
      </c>
      <c r="E136" s="58" t="str">
        <f t="shared" si="6"/>
        <v>FP</v>
      </c>
      <c r="F136" s="220"/>
      <c r="G136" s="220"/>
      <c r="H136" s="220">
        <v>4.9271672867656626</v>
      </c>
      <c r="I136" s="220">
        <v>18.382180083013257</v>
      </c>
      <c r="J136" s="16"/>
      <c r="K136" s="220"/>
      <c r="L136" s="220"/>
      <c r="M136" s="220">
        <v>3.3644279742351624</v>
      </c>
      <c r="N136" s="220">
        <v>16.473804380233673</v>
      </c>
      <c r="O136" s="17">
        <f t="shared" si="5"/>
        <v>19.838232354468836</v>
      </c>
    </row>
    <row r="137" spans="2:15" x14ac:dyDescent="0.2">
      <c r="B137" s="19">
        <v>0.90625</v>
      </c>
      <c r="C137" s="19">
        <v>0.91666666666666663</v>
      </c>
      <c r="D137" s="20">
        <v>88</v>
      </c>
      <c r="E137" s="58" t="str">
        <f t="shared" si="6"/>
        <v>FP</v>
      </c>
      <c r="F137" s="220"/>
      <c r="G137" s="220"/>
      <c r="H137" s="220">
        <v>4.6508957986734165</v>
      </c>
      <c r="I137" s="220">
        <v>18.334606479998993</v>
      </c>
      <c r="J137" s="16"/>
      <c r="K137" s="220"/>
      <c r="L137" s="220"/>
      <c r="M137" s="220">
        <v>3.398593140134857</v>
      </c>
      <c r="N137" s="220">
        <v>16.210608375124892</v>
      </c>
      <c r="O137" s="17">
        <f t="shared" si="5"/>
        <v>19.609201515259748</v>
      </c>
    </row>
    <row r="138" spans="2:15" x14ac:dyDescent="0.2">
      <c r="B138" s="19">
        <v>0.91666666666666663</v>
      </c>
      <c r="C138" s="19">
        <v>0.92708333333333337</v>
      </c>
      <c r="D138" s="20">
        <v>89</v>
      </c>
      <c r="E138" s="58" t="str">
        <f t="shared" si="6"/>
        <v>FP</v>
      </c>
      <c r="F138" s="220"/>
      <c r="G138" s="220"/>
      <c r="H138" s="220">
        <v>4.5464557283843492</v>
      </c>
      <c r="I138" s="220">
        <v>18.08364958871374</v>
      </c>
      <c r="J138" s="16"/>
      <c r="K138" s="220"/>
      <c r="L138" s="220"/>
      <c r="M138" s="220">
        <v>3.4521025669966154</v>
      </c>
      <c r="N138" s="220">
        <v>15.796977190196154</v>
      </c>
      <c r="O138" s="17">
        <f t="shared" si="5"/>
        <v>19.249079757192771</v>
      </c>
    </row>
    <row r="139" spans="2:15" x14ac:dyDescent="0.2">
      <c r="B139" s="19">
        <v>0.92708333333333337</v>
      </c>
      <c r="C139" s="19">
        <v>0.9375</v>
      </c>
      <c r="D139" s="20">
        <v>90</v>
      </c>
      <c r="E139" s="58" t="str">
        <f t="shared" si="6"/>
        <v>FP</v>
      </c>
      <c r="F139" s="220"/>
      <c r="G139" s="220"/>
      <c r="H139" s="220">
        <v>4.1901633945207211</v>
      </c>
      <c r="I139" s="220">
        <v>16.993201564449731</v>
      </c>
      <c r="J139" s="16"/>
      <c r="K139" s="220"/>
      <c r="L139" s="220"/>
      <c r="M139" s="220">
        <v>3.3346456613432047</v>
      </c>
      <c r="N139" s="220">
        <v>16.011408425570941</v>
      </c>
      <c r="O139" s="17">
        <f t="shared" si="5"/>
        <v>19.346054086914148</v>
      </c>
    </row>
    <row r="140" spans="2:15" x14ac:dyDescent="0.2">
      <c r="B140" s="19">
        <v>0.9375</v>
      </c>
      <c r="C140" s="19">
        <v>0.94791666666666663</v>
      </c>
      <c r="D140" s="20">
        <v>91</v>
      </c>
      <c r="E140" s="58" t="str">
        <f t="shared" si="6"/>
        <v>FP</v>
      </c>
      <c r="F140" s="220"/>
      <c r="G140" s="220"/>
      <c r="H140" s="220">
        <v>3.9781125581219743</v>
      </c>
      <c r="I140" s="220">
        <v>16.833907133908387</v>
      </c>
      <c r="J140" s="16"/>
      <c r="K140" s="220"/>
      <c r="L140" s="220"/>
      <c r="M140" s="220">
        <v>3.294445759301273</v>
      </c>
      <c r="N140" s="220">
        <v>14.319166141274113</v>
      </c>
      <c r="O140" s="17">
        <f t="shared" si="5"/>
        <v>17.613611900575386</v>
      </c>
    </row>
    <row r="141" spans="2:15" x14ac:dyDescent="0.2">
      <c r="B141" s="19">
        <v>0.94791666666666663</v>
      </c>
      <c r="C141" s="19">
        <v>0.95833333333333337</v>
      </c>
      <c r="D141" s="20">
        <v>92</v>
      </c>
      <c r="E141" s="58" t="str">
        <f t="shared" si="6"/>
        <v>FP</v>
      </c>
      <c r="F141" s="220"/>
      <c r="G141" s="220"/>
      <c r="H141" s="220">
        <v>3.7756507764436607</v>
      </c>
      <c r="I141" s="220">
        <v>15.157652655482899</v>
      </c>
      <c r="J141" s="16"/>
      <c r="K141" s="220"/>
      <c r="L141" s="220"/>
      <c r="M141" s="220">
        <v>3.2405975624404006</v>
      </c>
      <c r="N141" s="220">
        <v>13.631130091637504</v>
      </c>
      <c r="O141" s="17">
        <f t="shared" si="5"/>
        <v>16.871727654077905</v>
      </c>
    </row>
    <row r="142" spans="2:15" x14ac:dyDescent="0.2">
      <c r="B142" s="19">
        <v>0.95833333333333337</v>
      </c>
      <c r="C142" s="19">
        <v>0.96875</v>
      </c>
      <c r="D142" s="20">
        <v>93</v>
      </c>
      <c r="E142" s="58" t="str">
        <f t="shared" si="6"/>
        <v>FP</v>
      </c>
      <c r="F142" s="220"/>
      <c r="G142" s="220"/>
      <c r="H142" s="220">
        <v>3.5241757708473824</v>
      </c>
      <c r="I142" s="220">
        <v>15.043217026235407</v>
      </c>
      <c r="J142" s="16"/>
      <c r="K142" s="220"/>
      <c r="L142" s="220"/>
      <c r="M142" s="220">
        <v>3.1214743165168541</v>
      </c>
      <c r="N142" s="220">
        <v>14.331146109008113</v>
      </c>
      <c r="O142" s="17">
        <f t="shared" si="5"/>
        <v>17.452620425524966</v>
      </c>
    </row>
    <row r="143" spans="2:15" x14ac:dyDescent="0.2">
      <c r="B143" s="19">
        <v>0.96875</v>
      </c>
      <c r="C143" s="19">
        <v>0.97916666666666663</v>
      </c>
      <c r="D143" s="20">
        <v>94</v>
      </c>
      <c r="E143" s="58" t="str">
        <f t="shared" si="6"/>
        <v>FP</v>
      </c>
      <c r="F143" s="220"/>
      <c r="G143" s="220"/>
      <c r="H143" s="220">
        <v>3.2877941630727507</v>
      </c>
      <c r="I143" s="220">
        <v>13.394972395523634</v>
      </c>
      <c r="J143" s="16"/>
      <c r="K143" s="220"/>
      <c r="L143" s="220"/>
      <c r="M143" s="220">
        <v>2.9951689900133109</v>
      </c>
      <c r="N143" s="220">
        <v>12.578846046633796</v>
      </c>
      <c r="O143" s="17">
        <f t="shared" si="5"/>
        <v>15.574015036647108</v>
      </c>
    </row>
    <row r="144" spans="2:15" x14ac:dyDescent="0.2">
      <c r="B144" s="19">
        <v>0.97916666666666663</v>
      </c>
      <c r="C144" s="19">
        <v>0.98958333333333337</v>
      </c>
      <c r="D144" s="20">
        <v>95</v>
      </c>
      <c r="E144" s="58" t="str">
        <f t="shared" si="6"/>
        <v>FP</v>
      </c>
      <c r="F144" s="220"/>
      <c r="G144" s="220"/>
      <c r="H144" s="220">
        <v>3.0767555053301114</v>
      </c>
      <c r="I144" s="220">
        <v>13.073098945990958</v>
      </c>
      <c r="J144" s="16"/>
      <c r="K144" s="220"/>
      <c r="L144" s="220"/>
      <c r="M144" s="220">
        <v>2.8612589518574367</v>
      </c>
      <c r="N144" s="220">
        <v>10.816503651875223</v>
      </c>
      <c r="O144" s="17">
        <f t="shared" si="5"/>
        <v>13.67776260373266</v>
      </c>
    </row>
    <row r="145" spans="2:15" x14ac:dyDescent="0.2">
      <c r="B145" s="19">
        <v>0.98958333333333337</v>
      </c>
      <c r="C145" s="21">
        <v>0</v>
      </c>
      <c r="D145" s="20">
        <v>96</v>
      </c>
      <c r="E145" s="58" t="str">
        <f t="shared" si="6"/>
        <v>FP</v>
      </c>
      <c r="F145" s="220"/>
      <c r="G145" s="220"/>
      <c r="H145" s="220">
        <v>2.8604543000894145</v>
      </c>
      <c r="I145" s="220">
        <v>12.271324308336794</v>
      </c>
      <c r="J145" s="16"/>
      <c r="K145" s="220"/>
      <c r="L145" s="220"/>
      <c r="M145" s="220">
        <v>2.8321177253486662</v>
      </c>
      <c r="N145" s="220">
        <v>10.089887607910216</v>
      </c>
      <c r="O145" s="17">
        <f t="shared" si="5"/>
        <v>12.922005333258882</v>
      </c>
    </row>
  </sheetData>
  <mergeCells count="38">
    <mergeCell ref="U2:X2"/>
    <mergeCell ref="Z2:AC2"/>
    <mergeCell ref="R21:S21"/>
    <mergeCell ref="D6:N6"/>
    <mergeCell ref="B22:D22"/>
    <mergeCell ref="F22:G22"/>
    <mergeCell ref="L14:N14"/>
    <mergeCell ref="D13:N13"/>
    <mergeCell ref="F23:G23"/>
    <mergeCell ref="F24:G24"/>
    <mergeCell ref="F25:G25"/>
    <mergeCell ref="B21:D21"/>
    <mergeCell ref="R24:S24"/>
    <mergeCell ref="J24:K24"/>
    <mergeCell ref="D48:E49"/>
    <mergeCell ref="J21:K21"/>
    <mergeCell ref="L21:M21"/>
    <mergeCell ref="N21:O21"/>
    <mergeCell ref="P21:Q21"/>
    <mergeCell ref="L24:M24"/>
    <mergeCell ref="N24:O24"/>
    <mergeCell ref="P24:Q24"/>
    <mergeCell ref="B23:D23"/>
    <mergeCell ref="B25:D25"/>
    <mergeCell ref="B24:D24"/>
    <mergeCell ref="F21:G21"/>
    <mergeCell ref="B48:C49"/>
    <mergeCell ref="B46:I46"/>
    <mergeCell ref="K46:O46"/>
    <mergeCell ref="F32:F33"/>
    <mergeCell ref="I32:I33"/>
    <mergeCell ref="L32:L33"/>
    <mergeCell ref="R26:S26"/>
    <mergeCell ref="J26:K26"/>
    <mergeCell ref="L26:M26"/>
    <mergeCell ref="N26:O26"/>
    <mergeCell ref="O32:O33"/>
    <mergeCell ref="P26:Q26"/>
  </mergeCells>
  <conditionalFormatting sqref="E50:E145">
    <cfRule type="cellIs" dxfId="164" priority="23" operator="equal">
      <formula>"P"</formula>
    </cfRule>
  </conditionalFormatting>
  <conditionalFormatting sqref="X6:X29">
    <cfRule type="cellIs" dxfId="163" priority="4" operator="equal">
      <formula>"INTERMED"</formula>
    </cfRule>
    <cfRule type="cellIs" dxfId="162" priority="5" operator="equal">
      <formula>"PONTA"</formula>
    </cfRule>
    <cfRule type="cellIs" dxfId="161" priority="7" operator="equal">
      <formula>"""PONTA"""</formula>
    </cfRule>
  </conditionalFormatting>
  <conditionalFormatting sqref="AC6:AC29">
    <cfRule type="cellIs" dxfId="160" priority="1" operator="equal">
      <formula>"INTERMED"</formula>
    </cfRule>
    <cfRule type="cellIs" dxfId="159" priority="2" operator="equal">
      <formula>"PONTA"</formula>
    </cfRule>
    <cfRule type="cellIs" dxfId="158" priority="3" operator="equal">
      <formula>"""PONTA"""</formula>
    </cfRule>
  </conditionalFormatting>
  <dataValidations count="1">
    <dataValidation type="list" allowBlank="1" showInputMessage="1" showErrorMessage="1" sqref="X6:X29 AC6:AC29" xr:uid="{00000000-0002-0000-0100-000000000000}">
      <formula1>"FORA PONTA,INTERMED,PONTA"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CommandButton8">
          <controlPr defaultSize="0" autoLine="0" r:id="rId5">
            <anchor moveWithCells="1">
              <from>
                <xdr:col>15</xdr:col>
                <xdr:colOff>95250</xdr:colOff>
                <xdr:row>66</xdr:row>
                <xdr:rowOff>85725</xdr:rowOff>
              </from>
              <to>
                <xdr:col>17</xdr:col>
                <xdr:colOff>447675</xdr:colOff>
                <xdr:row>68</xdr:row>
                <xdr:rowOff>95250</xdr:rowOff>
              </to>
            </anchor>
          </controlPr>
        </control>
      </mc:Choice>
      <mc:Fallback>
        <control shapeId="1033" r:id="rId4" name="CommandButton8"/>
      </mc:Fallback>
    </mc:AlternateContent>
    <mc:AlternateContent xmlns:mc="http://schemas.openxmlformats.org/markup-compatibility/2006">
      <mc:Choice Requires="x14">
        <control shapeId="1032" r:id="rId6" name="CommandButton7">
          <controlPr defaultSize="0" autoLine="0" r:id="rId7">
            <anchor moveWithCells="1">
              <from>
                <xdr:col>15</xdr:col>
                <xdr:colOff>95250</xdr:colOff>
                <xdr:row>64</xdr:row>
                <xdr:rowOff>57150</xdr:rowOff>
              </from>
              <to>
                <xdr:col>17</xdr:col>
                <xdr:colOff>447675</xdr:colOff>
                <xdr:row>66</xdr:row>
                <xdr:rowOff>66675</xdr:rowOff>
              </to>
            </anchor>
          </controlPr>
        </control>
      </mc:Choice>
      <mc:Fallback>
        <control shapeId="1032" r:id="rId6" name="CommandButton7"/>
      </mc:Fallback>
    </mc:AlternateContent>
    <mc:AlternateContent xmlns:mc="http://schemas.openxmlformats.org/markup-compatibility/2006">
      <mc:Choice Requires="x14">
        <control shapeId="1031" r:id="rId8" name="CommandButton6">
          <controlPr defaultSize="0" autoLine="0" r:id="rId9">
            <anchor moveWithCells="1">
              <from>
                <xdr:col>15</xdr:col>
                <xdr:colOff>95250</xdr:colOff>
                <xdr:row>62</xdr:row>
                <xdr:rowOff>28575</xdr:rowOff>
              </from>
              <to>
                <xdr:col>17</xdr:col>
                <xdr:colOff>447675</xdr:colOff>
                <xdr:row>64</xdr:row>
                <xdr:rowOff>38100</xdr:rowOff>
              </to>
            </anchor>
          </controlPr>
        </control>
      </mc:Choice>
      <mc:Fallback>
        <control shapeId="1031" r:id="rId8" name="CommandButton6"/>
      </mc:Fallback>
    </mc:AlternateContent>
    <mc:AlternateContent xmlns:mc="http://schemas.openxmlformats.org/markup-compatibility/2006">
      <mc:Choice Requires="x14">
        <control shapeId="1030" r:id="rId10" name="CommandButton5">
          <controlPr defaultSize="0" autoLine="0" r:id="rId11">
            <anchor moveWithCells="1">
              <from>
                <xdr:col>15</xdr:col>
                <xdr:colOff>95250</xdr:colOff>
                <xdr:row>60</xdr:row>
                <xdr:rowOff>0</xdr:rowOff>
              </from>
              <to>
                <xdr:col>17</xdr:col>
                <xdr:colOff>447675</xdr:colOff>
                <xdr:row>62</xdr:row>
                <xdr:rowOff>9525</xdr:rowOff>
              </to>
            </anchor>
          </controlPr>
        </control>
      </mc:Choice>
      <mc:Fallback>
        <control shapeId="1030" r:id="rId10" name="CommandButton5"/>
      </mc:Fallback>
    </mc:AlternateContent>
    <mc:AlternateContent xmlns:mc="http://schemas.openxmlformats.org/markup-compatibility/2006">
      <mc:Choice Requires="x14">
        <control shapeId="1026" r:id="rId12" name="CommandButton1">
          <controlPr defaultSize="0" autoLine="0" r:id="rId13">
            <anchor moveWithCells="1">
              <from>
                <xdr:col>15</xdr:col>
                <xdr:colOff>95250</xdr:colOff>
                <xdr:row>50</xdr:row>
                <xdr:rowOff>95250</xdr:rowOff>
              </from>
              <to>
                <xdr:col>17</xdr:col>
                <xdr:colOff>314325</xdr:colOff>
                <xdr:row>52</xdr:row>
                <xdr:rowOff>104775</xdr:rowOff>
              </to>
            </anchor>
          </controlPr>
        </control>
      </mc:Choice>
      <mc:Fallback>
        <control shapeId="1026" r:id="rId12" name="CommandButton1"/>
      </mc:Fallback>
    </mc:AlternateContent>
    <mc:AlternateContent xmlns:mc="http://schemas.openxmlformats.org/markup-compatibility/2006">
      <mc:Choice Requires="x14">
        <control shapeId="1027" r:id="rId14" name="CommandButton2">
          <controlPr defaultSize="0" autoLine="0" r:id="rId15">
            <anchor moveWithCells="1">
              <from>
                <xdr:col>15</xdr:col>
                <xdr:colOff>95250</xdr:colOff>
                <xdr:row>52</xdr:row>
                <xdr:rowOff>133350</xdr:rowOff>
              </from>
              <to>
                <xdr:col>17</xdr:col>
                <xdr:colOff>314325</xdr:colOff>
                <xdr:row>54</xdr:row>
                <xdr:rowOff>142875</xdr:rowOff>
              </to>
            </anchor>
          </controlPr>
        </control>
      </mc:Choice>
      <mc:Fallback>
        <control shapeId="1027" r:id="rId14" name="CommandButton2"/>
      </mc:Fallback>
    </mc:AlternateContent>
    <mc:AlternateContent xmlns:mc="http://schemas.openxmlformats.org/markup-compatibility/2006">
      <mc:Choice Requires="x14">
        <control shapeId="1028" r:id="rId16" name="CommandButton3">
          <controlPr defaultSize="0" autoLine="0" r:id="rId17">
            <anchor moveWithCells="1">
              <from>
                <xdr:col>15</xdr:col>
                <xdr:colOff>95250</xdr:colOff>
                <xdr:row>55</xdr:row>
                <xdr:rowOff>9525</xdr:rowOff>
              </from>
              <to>
                <xdr:col>17</xdr:col>
                <xdr:colOff>314325</xdr:colOff>
                <xdr:row>57</xdr:row>
                <xdr:rowOff>19050</xdr:rowOff>
              </to>
            </anchor>
          </controlPr>
        </control>
      </mc:Choice>
      <mc:Fallback>
        <control shapeId="1028" r:id="rId16" name="CommandButton3"/>
      </mc:Fallback>
    </mc:AlternateContent>
    <mc:AlternateContent xmlns:mc="http://schemas.openxmlformats.org/markup-compatibility/2006">
      <mc:Choice Requires="x14">
        <control shapeId="1029" r:id="rId18" name="CommandButton4">
          <controlPr defaultSize="0" autoLine="0" r:id="rId19">
            <anchor moveWithCells="1">
              <from>
                <xdr:col>15</xdr:col>
                <xdr:colOff>95250</xdr:colOff>
                <xdr:row>57</xdr:row>
                <xdr:rowOff>47625</xdr:rowOff>
              </from>
              <to>
                <xdr:col>17</xdr:col>
                <xdr:colOff>314325</xdr:colOff>
                <xdr:row>59</xdr:row>
                <xdr:rowOff>57150</xdr:rowOff>
              </to>
            </anchor>
          </controlPr>
        </control>
      </mc:Choice>
      <mc:Fallback>
        <control shapeId="1029" r:id="rId18" name="CommandButton4"/>
      </mc:Fallback>
    </mc:AlternateContent>
    <mc:AlternateContent xmlns:mc="http://schemas.openxmlformats.org/markup-compatibility/2006">
      <mc:Choice Requires="x14">
        <control shapeId="1035" r:id="rId20" name="SalCam">
          <controlPr defaultSize="0" autoLine="0" r:id="rId21">
            <anchor moveWithCells="1">
              <from>
                <xdr:col>2</xdr:col>
                <xdr:colOff>180975</xdr:colOff>
                <xdr:row>2</xdr:row>
                <xdr:rowOff>19050</xdr:rowOff>
              </from>
              <to>
                <xdr:col>4</xdr:col>
                <xdr:colOff>400050</xdr:colOff>
                <xdr:row>3</xdr:row>
                <xdr:rowOff>114300</xdr:rowOff>
              </to>
            </anchor>
          </controlPr>
        </control>
      </mc:Choice>
      <mc:Fallback>
        <control shapeId="1035" r:id="rId20" name="SalCam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Aux!$B$1:$B$97</xm:f>
          </x14:formula1>
          <xm:sqref>L25:O25 J23 L23:O23 J25 R23:S23 R25:S25</xm:sqref>
        </x14:dataValidation>
        <x14:dataValidation type="list" allowBlank="1" showInputMessage="1" showErrorMessage="1" xr:uid="{00000000-0002-0000-0100-000002000000}">
          <x14:formula1>
            <xm:f>Aux!$B$2:$B$97</xm:f>
          </x14:formula1>
          <xm:sqref>V7:V29 AA7:AA29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7">
    <tabColor rgb="FF7030A0"/>
  </sheetPr>
  <dimension ref="A2:J31"/>
  <sheetViews>
    <sheetView showGridLines="0" workbookViewId="0">
      <selection activeCell="P11" sqref="P11"/>
    </sheetView>
  </sheetViews>
  <sheetFormatPr defaultColWidth="9.140625" defaultRowHeight="12.75" x14ac:dyDescent="0.2"/>
  <cols>
    <col min="1" max="1" width="12.140625" style="136" customWidth="1"/>
    <col min="2" max="2" width="11.42578125" style="2" customWidth="1"/>
    <col min="3" max="3" width="20.42578125" style="136" customWidth="1"/>
    <col min="4" max="4" width="28.28515625" style="2" customWidth="1"/>
    <col min="5" max="5" width="28.28515625" style="136" customWidth="1"/>
    <col min="6" max="6" width="11.85546875" style="2" bestFit="1" customWidth="1"/>
    <col min="7" max="7" width="9.140625" style="2"/>
    <col min="8" max="8" width="14.7109375" style="2" customWidth="1"/>
    <col min="9" max="9" width="32.85546875" style="2" customWidth="1"/>
    <col min="10" max="10" width="10.140625" style="2" bestFit="1" customWidth="1"/>
    <col min="11" max="11" width="14.85546875" style="2" customWidth="1"/>
    <col min="12" max="16384" width="9.140625" style="2"/>
  </cols>
  <sheetData>
    <row r="2" spans="1:10" ht="39" customHeight="1" x14ac:dyDescent="0.2"/>
    <row r="4" spans="1:10" ht="13.5" thickBot="1" x14ac:dyDescent="0.25"/>
    <row r="5" spans="1:10" ht="13.5" thickBot="1" x14ac:dyDescent="0.25">
      <c r="A5" s="479" t="s">
        <v>806</v>
      </c>
      <c r="B5" s="480" t="s">
        <v>792</v>
      </c>
      <c r="C5" s="480" t="s">
        <v>793</v>
      </c>
      <c r="D5" s="480" t="s">
        <v>807</v>
      </c>
      <c r="E5" s="480" t="s">
        <v>808</v>
      </c>
      <c r="F5" s="480" t="s">
        <v>409</v>
      </c>
      <c r="G5" s="480" t="s">
        <v>809</v>
      </c>
      <c r="H5" s="481" t="s">
        <v>810</v>
      </c>
      <c r="I5" s="481" t="s">
        <v>799</v>
      </c>
    </row>
    <row r="6" spans="1:10" ht="13.5" thickBot="1" x14ac:dyDescent="0.25">
      <c r="A6" s="482" t="s">
        <v>789</v>
      </c>
      <c r="B6" s="483" t="s">
        <v>160</v>
      </c>
      <c r="C6" s="483" t="s">
        <v>789</v>
      </c>
      <c r="D6" s="483" t="s">
        <v>512</v>
      </c>
      <c r="E6" s="483" t="s">
        <v>789</v>
      </c>
      <c r="F6" s="483" t="s">
        <v>555</v>
      </c>
      <c r="G6" s="483" t="s">
        <v>502</v>
      </c>
      <c r="H6" s="484">
        <f>IF(TR!O63=0,"",TR!O63)</f>
        <v>4.263617175111122</v>
      </c>
      <c r="I6" s="484"/>
    </row>
    <row r="7" spans="1:10" ht="13.5" thickBot="1" x14ac:dyDescent="0.25">
      <c r="A7" s="482" t="s">
        <v>3374</v>
      </c>
      <c r="B7" s="483" t="s">
        <v>789</v>
      </c>
      <c r="C7" s="483" t="s">
        <v>789</v>
      </c>
      <c r="D7" s="483" t="s">
        <v>789</v>
      </c>
      <c r="E7" s="483" t="s">
        <v>789</v>
      </c>
      <c r="F7" s="483" t="s">
        <v>789</v>
      </c>
      <c r="G7" s="483" t="s">
        <v>789</v>
      </c>
      <c r="H7" s="484">
        <f>IF('Aux_FIO A'!B59=0,"",'Aux_FIO A'!B59)</f>
        <v>0.749</v>
      </c>
      <c r="I7" s="592"/>
    </row>
    <row r="8" spans="1:10" x14ac:dyDescent="0.2">
      <c r="A8" s="654" t="s">
        <v>572</v>
      </c>
      <c r="B8" s="501"/>
      <c r="C8" s="501"/>
      <c r="D8" s="655" t="s">
        <v>512</v>
      </c>
      <c r="E8" s="501"/>
      <c r="F8" s="496" t="s">
        <v>789</v>
      </c>
      <c r="G8" s="496" t="s">
        <v>29</v>
      </c>
      <c r="H8" s="589"/>
      <c r="I8" s="594" t="s">
        <v>3477</v>
      </c>
      <c r="J8" s="503" t="s">
        <v>3385</v>
      </c>
    </row>
    <row r="9" spans="1:10" x14ac:dyDescent="0.2">
      <c r="A9" s="495" t="s">
        <v>572</v>
      </c>
      <c r="B9" s="496">
        <f>B8</f>
        <v>0</v>
      </c>
      <c r="C9" s="496">
        <f>C8</f>
        <v>0</v>
      </c>
      <c r="D9" s="497" t="s">
        <v>692</v>
      </c>
      <c r="E9" s="496">
        <f>E8</f>
        <v>0</v>
      </c>
      <c r="F9" s="496" t="s">
        <v>789</v>
      </c>
      <c r="G9" s="496" t="s">
        <v>29</v>
      </c>
      <c r="H9" s="590"/>
      <c r="I9" s="595" t="s">
        <v>3375</v>
      </c>
    </row>
    <row r="10" spans="1:10" ht="13.5" thickBot="1" x14ac:dyDescent="0.25">
      <c r="A10" s="498" t="s">
        <v>572</v>
      </c>
      <c r="B10" s="499">
        <f>B8</f>
        <v>0</v>
      </c>
      <c r="C10" s="499">
        <f>C8</f>
        <v>0</v>
      </c>
      <c r="D10" s="500" t="s">
        <v>693</v>
      </c>
      <c r="E10" s="499">
        <f>E8</f>
        <v>0</v>
      </c>
      <c r="F10" s="499" t="s">
        <v>789</v>
      </c>
      <c r="G10" s="499" t="s">
        <v>29</v>
      </c>
      <c r="H10" s="591"/>
      <c r="I10" s="596" t="s">
        <v>3375</v>
      </c>
    </row>
    <row r="11" spans="1:10" x14ac:dyDescent="0.2">
      <c r="A11" s="482" t="s">
        <v>572</v>
      </c>
      <c r="B11" s="501"/>
      <c r="C11" s="501"/>
      <c r="D11" s="485" t="s">
        <v>512</v>
      </c>
      <c r="E11" s="501"/>
      <c r="F11" s="483" t="s">
        <v>789</v>
      </c>
      <c r="G11" s="483" t="s">
        <v>29</v>
      </c>
      <c r="H11" s="486"/>
      <c r="I11" s="593"/>
    </row>
    <row r="12" spans="1:10" x14ac:dyDescent="0.2">
      <c r="A12" s="487" t="s">
        <v>572</v>
      </c>
      <c r="B12" s="488">
        <f>B11</f>
        <v>0</v>
      </c>
      <c r="C12" s="488">
        <f>C11</f>
        <v>0</v>
      </c>
      <c r="D12" s="489" t="s">
        <v>692</v>
      </c>
      <c r="E12" s="488">
        <f>E11</f>
        <v>0</v>
      </c>
      <c r="F12" s="488" t="s">
        <v>789</v>
      </c>
      <c r="G12" s="488" t="s">
        <v>29</v>
      </c>
      <c r="H12" s="490"/>
      <c r="I12" s="490"/>
    </row>
    <row r="13" spans="1:10" ht="13.5" thickBot="1" x14ac:dyDescent="0.25">
      <c r="A13" s="491" t="s">
        <v>572</v>
      </c>
      <c r="B13" s="492">
        <f>B11</f>
        <v>0</v>
      </c>
      <c r="C13" s="492">
        <f>C11</f>
        <v>0</v>
      </c>
      <c r="D13" s="493" t="s">
        <v>693</v>
      </c>
      <c r="E13" s="492">
        <f>E11</f>
        <v>0</v>
      </c>
      <c r="F13" s="492" t="s">
        <v>789</v>
      </c>
      <c r="G13" s="492" t="s">
        <v>29</v>
      </c>
      <c r="H13" s="494"/>
      <c r="I13" s="494"/>
    </row>
    <row r="14" spans="1:10" x14ac:dyDescent="0.2">
      <c r="A14" s="654" t="s">
        <v>572</v>
      </c>
      <c r="B14" s="501"/>
      <c r="C14" s="501"/>
      <c r="D14" s="655" t="s">
        <v>512</v>
      </c>
      <c r="E14" s="501"/>
      <c r="F14" s="496" t="s">
        <v>789</v>
      </c>
      <c r="G14" s="496" t="s">
        <v>29</v>
      </c>
      <c r="H14" s="502"/>
      <c r="I14" s="502"/>
    </row>
    <row r="15" spans="1:10" x14ac:dyDescent="0.2">
      <c r="A15" s="495" t="s">
        <v>572</v>
      </c>
      <c r="B15" s="496">
        <f>B14</f>
        <v>0</v>
      </c>
      <c r="C15" s="496">
        <f>C14</f>
        <v>0</v>
      </c>
      <c r="D15" s="497" t="s">
        <v>692</v>
      </c>
      <c r="E15" s="496">
        <f>E14</f>
        <v>0</v>
      </c>
      <c r="F15" s="496" t="s">
        <v>789</v>
      </c>
      <c r="G15" s="496" t="s">
        <v>29</v>
      </c>
      <c r="H15" s="504"/>
      <c r="I15" s="504"/>
    </row>
    <row r="16" spans="1:10" ht="13.5" thickBot="1" x14ac:dyDescent="0.25">
      <c r="A16" s="498" t="s">
        <v>572</v>
      </c>
      <c r="B16" s="499">
        <f>B14</f>
        <v>0</v>
      </c>
      <c r="C16" s="499">
        <f>C14</f>
        <v>0</v>
      </c>
      <c r="D16" s="500" t="s">
        <v>693</v>
      </c>
      <c r="E16" s="499">
        <f>E14</f>
        <v>0</v>
      </c>
      <c r="F16" s="499" t="s">
        <v>789</v>
      </c>
      <c r="G16" s="499" t="s">
        <v>29</v>
      </c>
      <c r="H16" s="505"/>
      <c r="I16" s="505"/>
    </row>
    <row r="17" spans="1:9" x14ac:dyDescent="0.2">
      <c r="A17" s="482" t="s">
        <v>572</v>
      </c>
      <c r="B17" s="501"/>
      <c r="C17" s="501"/>
      <c r="D17" s="485" t="s">
        <v>512</v>
      </c>
      <c r="E17" s="501"/>
      <c r="F17" s="483" t="s">
        <v>789</v>
      </c>
      <c r="G17" s="483" t="s">
        <v>29</v>
      </c>
      <c r="H17" s="486"/>
      <c r="I17" s="486"/>
    </row>
    <row r="18" spans="1:9" x14ac:dyDescent="0.2">
      <c r="A18" s="487" t="s">
        <v>572</v>
      </c>
      <c r="B18" s="488">
        <f>B17</f>
        <v>0</v>
      </c>
      <c r="C18" s="488">
        <f>C17</f>
        <v>0</v>
      </c>
      <c r="D18" s="489" t="s">
        <v>692</v>
      </c>
      <c r="E18" s="488">
        <f>E17</f>
        <v>0</v>
      </c>
      <c r="F18" s="488" t="s">
        <v>789</v>
      </c>
      <c r="G18" s="488" t="s">
        <v>29</v>
      </c>
      <c r="H18" s="490"/>
      <c r="I18" s="490"/>
    </row>
    <row r="19" spans="1:9" ht="13.5" thickBot="1" x14ac:dyDescent="0.25">
      <c r="A19" s="491" t="s">
        <v>572</v>
      </c>
      <c r="B19" s="492">
        <f>B17</f>
        <v>0</v>
      </c>
      <c r="C19" s="492">
        <f>C17</f>
        <v>0</v>
      </c>
      <c r="D19" s="493" t="s">
        <v>693</v>
      </c>
      <c r="E19" s="492">
        <f>E17</f>
        <v>0</v>
      </c>
      <c r="F19" s="492" t="s">
        <v>789</v>
      </c>
      <c r="G19" s="492" t="s">
        <v>29</v>
      </c>
      <c r="H19" s="494"/>
      <c r="I19" s="494"/>
    </row>
    <row r="20" spans="1:9" x14ac:dyDescent="0.2">
      <c r="A20" s="654" t="s">
        <v>572</v>
      </c>
      <c r="B20" s="501"/>
      <c r="C20" s="501"/>
      <c r="D20" s="655" t="s">
        <v>512</v>
      </c>
      <c r="E20" s="501"/>
      <c r="F20" s="496" t="s">
        <v>789</v>
      </c>
      <c r="G20" s="496" t="s">
        <v>29</v>
      </c>
      <c r="H20" s="502"/>
      <c r="I20" s="502"/>
    </row>
    <row r="21" spans="1:9" x14ac:dyDescent="0.2">
      <c r="A21" s="495" t="s">
        <v>572</v>
      </c>
      <c r="B21" s="496">
        <f>B20</f>
        <v>0</v>
      </c>
      <c r="C21" s="496">
        <f>C20</f>
        <v>0</v>
      </c>
      <c r="D21" s="497" t="s">
        <v>692</v>
      </c>
      <c r="E21" s="496">
        <f>E20</f>
        <v>0</v>
      </c>
      <c r="F21" s="496" t="s">
        <v>789</v>
      </c>
      <c r="G21" s="496" t="s">
        <v>29</v>
      </c>
      <c r="H21" s="504"/>
      <c r="I21" s="504"/>
    </row>
    <row r="22" spans="1:9" ht="13.5" thickBot="1" x14ac:dyDescent="0.25">
      <c r="A22" s="498" t="s">
        <v>572</v>
      </c>
      <c r="B22" s="499">
        <f>B20</f>
        <v>0</v>
      </c>
      <c r="C22" s="499">
        <f>C20</f>
        <v>0</v>
      </c>
      <c r="D22" s="500" t="s">
        <v>693</v>
      </c>
      <c r="E22" s="499">
        <f>E20</f>
        <v>0</v>
      </c>
      <c r="F22" s="499" t="s">
        <v>789</v>
      </c>
      <c r="G22" s="499" t="s">
        <v>29</v>
      </c>
      <c r="H22" s="505"/>
      <c r="I22" s="505"/>
    </row>
    <row r="23" spans="1:9" x14ac:dyDescent="0.2">
      <c r="A23" s="482" t="s">
        <v>572</v>
      </c>
      <c r="B23" s="501"/>
      <c r="C23" s="501"/>
      <c r="D23" s="485" t="s">
        <v>512</v>
      </c>
      <c r="E23" s="501"/>
      <c r="F23" s="483" t="s">
        <v>789</v>
      </c>
      <c r="G23" s="483" t="s">
        <v>29</v>
      </c>
      <c r="H23" s="486"/>
      <c r="I23" s="486"/>
    </row>
    <row r="24" spans="1:9" x14ac:dyDescent="0.2">
      <c r="A24" s="487" t="s">
        <v>572</v>
      </c>
      <c r="B24" s="488">
        <f>B23</f>
        <v>0</v>
      </c>
      <c r="C24" s="488">
        <f>C23</f>
        <v>0</v>
      </c>
      <c r="D24" s="489" t="s">
        <v>692</v>
      </c>
      <c r="E24" s="488">
        <f>E23</f>
        <v>0</v>
      </c>
      <c r="F24" s="488" t="s">
        <v>789</v>
      </c>
      <c r="G24" s="488" t="s">
        <v>29</v>
      </c>
      <c r="H24" s="490"/>
      <c r="I24" s="490"/>
    </row>
    <row r="25" spans="1:9" ht="13.5" thickBot="1" x14ac:dyDescent="0.25">
      <c r="A25" s="491" t="s">
        <v>572</v>
      </c>
      <c r="B25" s="492">
        <f>B23</f>
        <v>0</v>
      </c>
      <c r="C25" s="492">
        <f>C23</f>
        <v>0</v>
      </c>
      <c r="D25" s="493" t="s">
        <v>693</v>
      </c>
      <c r="E25" s="492">
        <f>E23</f>
        <v>0</v>
      </c>
      <c r="F25" s="492" t="s">
        <v>789</v>
      </c>
      <c r="G25" s="492" t="s">
        <v>29</v>
      </c>
      <c r="H25" s="494"/>
      <c r="I25" s="494"/>
    </row>
    <row r="26" spans="1:9" x14ac:dyDescent="0.2">
      <c r="A26" s="654" t="s">
        <v>572</v>
      </c>
      <c r="B26" s="501"/>
      <c r="C26" s="501"/>
      <c r="D26" s="655" t="s">
        <v>512</v>
      </c>
      <c r="E26" s="501"/>
      <c r="F26" s="496" t="s">
        <v>789</v>
      </c>
      <c r="G26" s="496" t="s">
        <v>29</v>
      </c>
      <c r="H26" s="502"/>
      <c r="I26" s="502"/>
    </row>
    <row r="27" spans="1:9" x14ac:dyDescent="0.2">
      <c r="A27" s="495" t="s">
        <v>572</v>
      </c>
      <c r="B27" s="496">
        <f>B26</f>
        <v>0</v>
      </c>
      <c r="C27" s="496">
        <f>C26</f>
        <v>0</v>
      </c>
      <c r="D27" s="497" t="s">
        <v>692</v>
      </c>
      <c r="E27" s="496">
        <f>E26</f>
        <v>0</v>
      </c>
      <c r="F27" s="496" t="s">
        <v>789</v>
      </c>
      <c r="G27" s="496" t="s">
        <v>29</v>
      </c>
      <c r="H27" s="504"/>
      <c r="I27" s="504"/>
    </row>
    <row r="28" spans="1:9" ht="13.5" thickBot="1" x14ac:dyDescent="0.25">
      <c r="A28" s="498" t="s">
        <v>572</v>
      </c>
      <c r="B28" s="499">
        <f>B26</f>
        <v>0</v>
      </c>
      <c r="C28" s="499">
        <f>C26</f>
        <v>0</v>
      </c>
      <c r="D28" s="500" t="s">
        <v>693</v>
      </c>
      <c r="E28" s="499">
        <f>E26</f>
        <v>0</v>
      </c>
      <c r="F28" s="499" t="s">
        <v>789</v>
      </c>
      <c r="G28" s="499" t="s">
        <v>29</v>
      </c>
      <c r="H28" s="505"/>
      <c r="I28" s="505"/>
    </row>
    <row r="29" spans="1:9" x14ac:dyDescent="0.2">
      <c r="A29" s="482" t="s">
        <v>572</v>
      </c>
      <c r="B29" s="501"/>
      <c r="C29" s="501"/>
      <c r="D29" s="485" t="s">
        <v>512</v>
      </c>
      <c r="E29" s="501"/>
      <c r="F29" s="483" t="s">
        <v>789</v>
      </c>
      <c r="G29" s="483" t="s">
        <v>29</v>
      </c>
      <c r="H29" s="486"/>
      <c r="I29" s="486"/>
    </row>
    <row r="30" spans="1:9" x14ac:dyDescent="0.2">
      <c r="A30" s="487" t="s">
        <v>572</v>
      </c>
      <c r="B30" s="488">
        <f>B29</f>
        <v>0</v>
      </c>
      <c r="C30" s="488">
        <f>C29</f>
        <v>0</v>
      </c>
      <c r="D30" s="489" t="s">
        <v>692</v>
      </c>
      <c r="E30" s="488">
        <f>E29</f>
        <v>0</v>
      </c>
      <c r="F30" s="488" t="s">
        <v>789</v>
      </c>
      <c r="G30" s="488" t="s">
        <v>29</v>
      </c>
      <c r="H30" s="490"/>
      <c r="I30" s="490"/>
    </row>
    <row r="31" spans="1:9" ht="13.5" thickBot="1" x14ac:dyDescent="0.25">
      <c r="A31" s="491" t="s">
        <v>572</v>
      </c>
      <c r="B31" s="492">
        <f>B29</f>
        <v>0</v>
      </c>
      <c r="C31" s="492">
        <f>C29</f>
        <v>0</v>
      </c>
      <c r="D31" s="493" t="s">
        <v>693</v>
      </c>
      <c r="E31" s="492">
        <f>E29</f>
        <v>0</v>
      </c>
      <c r="F31" s="492" t="s">
        <v>789</v>
      </c>
      <c r="G31" s="492" t="s">
        <v>29</v>
      </c>
      <c r="H31" s="494"/>
      <c r="I31" s="494"/>
    </row>
  </sheetData>
  <dataValidations disablePrompts="1" count="2">
    <dataValidation type="list" allowBlank="1" showInputMessage="1" showErrorMessage="1" sqref="B8 B14 B20 B23 B26 B11 B17 B29" xr:uid="{00000000-0002-0000-1300-000000000000}">
      <formula1>"A1,A2,A3,A3a,A4"</formula1>
    </dataValidation>
    <dataValidation type="list" allowBlank="1" showInputMessage="1" showErrorMessage="1" sqref="C8 C14 C20 C23 C26 C11 C17 C29" xr:uid="{00000000-0002-0000-1300-000001000000}">
      <formula1>"AZUL,DISTRIBUIÇÃO"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23553" r:id="rId3" name="CommandButton1">
          <controlPr defaultSize="0" autoLine="0" r:id="rId4">
            <anchor moveWithCells="1">
              <from>
                <xdr:col>5</xdr:col>
                <xdr:colOff>561975</xdr:colOff>
                <xdr:row>1</xdr:row>
                <xdr:rowOff>152400</xdr:rowOff>
              </from>
              <to>
                <xdr:col>7</xdr:col>
                <xdr:colOff>809625</xdr:colOff>
                <xdr:row>1</xdr:row>
                <xdr:rowOff>447675</xdr:rowOff>
              </to>
            </anchor>
          </controlPr>
        </control>
      </mc:Choice>
      <mc:Fallback>
        <control shapeId="23553" r:id="rId3" name="CommandButton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9">
    <tabColor theme="7" tint="0.39997558519241921"/>
  </sheetPr>
  <dimension ref="B1:BF165"/>
  <sheetViews>
    <sheetView showGridLines="0" tabSelected="1" topLeftCell="A137" zoomScale="120" zoomScaleNormal="120" workbookViewId="0">
      <selection activeCell="M116" sqref="M116"/>
    </sheetView>
  </sheetViews>
  <sheetFormatPr defaultRowHeight="15" x14ac:dyDescent="0.25"/>
  <cols>
    <col min="1" max="1" width="0.85546875" customWidth="1"/>
    <col min="2" max="2" width="32.140625" customWidth="1"/>
    <col min="3" max="3" width="21.7109375" customWidth="1"/>
    <col min="4" max="4" width="17.28515625" customWidth="1"/>
    <col min="5" max="5" width="12.28515625" customWidth="1"/>
    <col min="6" max="6" width="12.85546875" customWidth="1"/>
    <col min="7" max="7" width="13.5703125" customWidth="1"/>
    <col min="8" max="8" width="15" customWidth="1"/>
    <col min="9" max="9" width="15.28515625" customWidth="1"/>
    <col min="10" max="10" width="17.42578125" customWidth="1"/>
    <col min="11" max="11" width="12.85546875" customWidth="1"/>
    <col min="12" max="12" width="12.5703125" customWidth="1"/>
    <col min="13" max="13" width="13.42578125" customWidth="1"/>
    <col min="14" max="14" width="18.28515625" customWidth="1"/>
    <col min="15" max="18" width="7.140625" customWidth="1"/>
    <col min="19" max="19" width="3" customWidth="1"/>
    <col min="20" max="20" width="21.28515625" customWidth="1"/>
    <col min="21" max="21" width="16" bestFit="1" customWidth="1"/>
    <col min="22" max="22" width="20.85546875" customWidth="1"/>
    <col min="23" max="23" width="9.5703125" bestFit="1" customWidth="1"/>
    <col min="24" max="24" width="12.85546875" customWidth="1"/>
    <col min="25" max="25" width="5.28515625" customWidth="1"/>
    <col min="26" max="26" width="12.85546875" bestFit="1" customWidth="1"/>
    <col min="27" max="30" width="8.5703125" customWidth="1"/>
    <col min="31" max="31" width="5.5703125" customWidth="1"/>
    <col min="32" max="32" width="12.85546875" bestFit="1" customWidth="1"/>
    <col min="33" max="33" width="18.28515625" customWidth="1"/>
    <col min="34" max="34" width="18.28515625" bestFit="1" customWidth="1"/>
    <col min="45" max="45" width="17.140625" bestFit="1" customWidth="1"/>
    <col min="46" max="46" width="20.140625" bestFit="1" customWidth="1"/>
    <col min="47" max="47" width="14.140625" customWidth="1"/>
    <col min="48" max="48" width="14.28515625" customWidth="1"/>
    <col min="50" max="50" width="13.85546875" customWidth="1"/>
    <col min="51" max="51" width="22" customWidth="1"/>
    <col min="54" max="54" width="11.85546875" customWidth="1"/>
    <col min="57" max="57" width="36.140625" customWidth="1"/>
    <col min="58" max="58" width="17.28515625" customWidth="1"/>
  </cols>
  <sheetData>
    <row r="1" spans="2:32" ht="16.5" x14ac:dyDescent="0.25">
      <c r="B1" s="541"/>
      <c r="H1" s="641" t="s">
        <v>3565</v>
      </c>
      <c r="I1" s="900" t="s">
        <v>3609</v>
      </c>
      <c r="J1" s="900"/>
      <c r="K1" s="900"/>
      <c r="L1" s="900"/>
      <c r="M1" s="900"/>
      <c r="N1" s="900"/>
      <c r="AA1" s="608" t="s">
        <v>409</v>
      </c>
      <c r="AB1" s="608" t="s">
        <v>7</v>
      </c>
      <c r="AC1" s="608" t="s">
        <v>8</v>
      </c>
      <c r="AD1" s="608" t="s">
        <v>6</v>
      </c>
      <c r="AE1" s="608" t="s">
        <v>20</v>
      </c>
      <c r="AF1" s="608" t="s">
        <v>722</v>
      </c>
    </row>
    <row r="2" spans="2:32" ht="16.5" x14ac:dyDescent="0.25">
      <c r="B2" s="641" t="s">
        <v>3125</v>
      </c>
      <c r="C2" s="640" t="s">
        <v>3610</v>
      </c>
      <c r="E2" s="641" t="s">
        <v>3495</v>
      </c>
      <c r="F2" s="640" t="s">
        <v>3611</v>
      </c>
      <c r="H2" s="641" t="s">
        <v>3566</v>
      </c>
      <c r="I2" s="901">
        <v>44755.709166666667</v>
      </c>
      <c r="J2" s="902"/>
      <c r="K2" s="902"/>
      <c r="L2" s="902"/>
      <c r="M2" s="902"/>
      <c r="N2" s="902"/>
      <c r="AA2" s="609">
        <v>1</v>
      </c>
      <c r="AB2" s="610">
        <f>VLOOKUP(AA2,'CT (CTR)'!$D$312:$AF$335,29,0)</f>
        <v>0</v>
      </c>
      <c r="AC2" s="610">
        <f>VLOOKUP(AA2,'CT (CTR)'!$D$278:$AF$301,29,0)</f>
        <v>0</v>
      </c>
      <c r="AD2" s="610">
        <f>VLOOKUP(AA2,'CT (CTR)'!$D$244:$AF$267,29,0)</f>
        <v>3.2466970165899331</v>
      </c>
      <c r="AE2" s="610">
        <f>VLOOKUP(AA2,'CT (CTR)'!$D$6:$AH$29,31,0)</f>
        <v>9.1357723130503672</v>
      </c>
      <c r="AF2" s="610">
        <f>SUM(AB2:AE2)</f>
        <v>12.382469329640301</v>
      </c>
    </row>
    <row r="3" spans="2:32" ht="16.5" x14ac:dyDescent="0.3">
      <c r="B3" s="543" t="s">
        <v>3413</v>
      </c>
      <c r="C3" s="544"/>
      <c r="D3" s="544"/>
      <c r="E3" s="544"/>
      <c r="F3" s="544"/>
      <c r="G3" s="544"/>
      <c r="H3" s="641" t="s">
        <v>3567</v>
      </c>
      <c r="I3" s="902" t="s">
        <v>3618</v>
      </c>
      <c r="J3" s="902"/>
      <c r="K3" s="902"/>
      <c r="L3" s="902"/>
      <c r="M3" s="902"/>
      <c r="N3" s="902"/>
      <c r="AA3" s="609">
        <v>2</v>
      </c>
      <c r="AB3" s="610">
        <f>VLOOKUP(AA3,'CT (CTR)'!$D$312:$AF$335,29,0)</f>
        <v>0</v>
      </c>
      <c r="AC3" s="610">
        <f>VLOOKUP(AA3,'CT (CTR)'!$D$278:$AF$301,29,0)</f>
        <v>0</v>
      </c>
      <c r="AD3" s="610">
        <f>VLOOKUP(AA3,'CT (CTR)'!$D$244:$AF$267,29,0)</f>
        <v>2.9329466187882614</v>
      </c>
      <c r="AE3" s="610">
        <f>VLOOKUP(AA3,'CT (CTR)'!$D$6:$AH$29,31,0)</f>
        <v>8.1290315214747455</v>
      </c>
      <c r="AF3" s="610">
        <f t="shared" ref="AF3:AF13" si="0">SUM(AB3:AE3)</f>
        <v>11.061978140263006</v>
      </c>
    </row>
    <row r="4" spans="2:32" ht="16.5" x14ac:dyDescent="0.3">
      <c r="B4" s="545" t="s">
        <v>3568</v>
      </c>
      <c r="C4" s="544"/>
      <c r="D4" s="544"/>
      <c r="E4" s="544"/>
      <c r="F4" s="544"/>
      <c r="G4" s="544"/>
      <c r="H4" s="544"/>
      <c r="I4" s="544"/>
      <c r="AA4" s="609">
        <v>3</v>
      </c>
      <c r="AB4" s="610">
        <f>VLOOKUP(AA4,'CT (CTR)'!$D$312:$AF$335,29,0)</f>
        <v>0</v>
      </c>
      <c r="AC4" s="610">
        <f>VLOOKUP(AA4,'CT (CTR)'!$D$278:$AF$301,29,0)</f>
        <v>0</v>
      </c>
      <c r="AD4" s="610">
        <f>VLOOKUP(AA4,'CT (CTR)'!$D$244:$AF$267,29,0)</f>
        <v>2.878242543950126</v>
      </c>
      <c r="AE4" s="610">
        <f>VLOOKUP(AA4,'CT (CTR)'!$D$6:$AH$29,31,0)</f>
        <v>8.0245862715154708</v>
      </c>
      <c r="AF4" s="610">
        <f t="shared" si="0"/>
        <v>10.902828815465597</v>
      </c>
    </row>
    <row r="5" spans="2:32" ht="16.5" customHeight="1" x14ac:dyDescent="0.25">
      <c r="B5" s="884" t="s">
        <v>142</v>
      </c>
      <c r="C5" s="884" t="s">
        <v>3414</v>
      </c>
      <c r="D5" s="886" t="s">
        <v>3415</v>
      </c>
      <c r="E5" s="887"/>
      <c r="F5" s="888"/>
      <c r="G5" s="886" t="s">
        <v>3416</v>
      </c>
      <c r="H5" s="887"/>
      <c r="I5" s="888"/>
      <c r="AA5" s="609">
        <v>4</v>
      </c>
      <c r="AB5" s="610">
        <f>VLOOKUP(AA5,'CT (CTR)'!$D$312:$AF$335,29,0)</f>
        <v>0</v>
      </c>
      <c r="AC5" s="610">
        <f>VLOOKUP(AA5,'CT (CTR)'!$D$278:$AF$301,29,0)</f>
        <v>0</v>
      </c>
      <c r="AD5" s="610">
        <f>VLOOKUP(AA5,'CT (CTR)'!$D$244:$AF$267,29,0)</f>
        <v>2.7962782988613091</v>
      </c>
      <c r="AE5" s="610">
        <f>VLOOKUP(AA5,'CT (CTR)'!$D$6:$AH$29,31,0)</f>
        <v>7.7095486629407528</v>
      </c>
      <c r="AF5" s="610">
        <f t="shared" si="0"/>
        <v>10.505826961802061</v>
      </c>
    </row>
    <row r="6" spans="2:32" ht="20.25" customHeight="1" x14ac:dyDescent="0.25">
      <c r="B6" s="885"/>
      <c r="C6" s="885"/>
      <c r="D6" s="449" t="s">
        <v>682</v>
      </c>
      <c r="E6" s="449" t="s">
        <v>3417</v>
      </c>
      <c r="F6" s="449" t="s">
        <v>683</v>
      </c>
      <c r="G6" s="449" t="s">
        <v>682</v>
      </c>
      <c r="H6" s="449" t="s">
        <v>3417</v>
      </c>
      <c r="I6" s="449" t="s">
        <v>683</v>
      </c>
      <c r="AA6" s="609">
        <v>5</v>
      </c>
      <c r="AB6" s="610">
        <f>VLOOKUP(AA6,'CT (CTR)'!$D$312:$AF$335,29,0)</f>
        <v>0</v>
      </c>
      <c r="AC6" s="610">
        <f>VLOOKUP(AA6,'CT (CTR)'!$D$278:$AF$301,29,0)</f>
        <v>0</v>
      </c>
      <c r="AD6" s="610">
        <f>VLOOKUP(AA6,'CT (CTR)'!$D$244:$AF$267,29,0)</f>
        <v>2.8497028129464139</v>
      </c>
      <c r="AE6" s="610">
        <f>VLOOKUP(AA6,'CT (CTR)'!$D$6:$AH$29,31,0)</f>
        <v>7.6057392681333873</v>
      </c>
      <c r="AF6" s="610">
        <f t="shared" si="0"/>
        <v>10.455442081079802</v>
      </c>
    </row>
    <row r="7" spans="2:32" ht="16.5" x14ac:dyDescent="0.3">
      <c r="B7" s="542" t="s">
        <v>3418</v>
      </c>
      <c r="C7" s="634">
        <v>681.11</v>
      </c>
      <c r="D7" s="635">
        <v>1289.6399999999999</v>
      </c>
      <c r="E7" s="635">
        <v>840.75</v>
      </c>
      <c r="F7" s="635">
        <v>541.01</v>
      </c>
      <c r="G7" s="672">
        <f>D7/$C$7-1</f>
        <v>0.89343865161280833</v>
      </c>
      <c r="H7" s="672">
        <f>E7/$C$7-1</f>
        <v>0.23438211155319988</v>
      </c>
      <c r="I7" s="672">
        <f>F7/$C$7-1</f>
        <v>-0.20569364713482408</v>
      </c>
      <c r="AA7" s="609">
        <v>6</v>
      </c>
      <c r="AB7" s="610">
        <f>VLOOKUP(AA7,'CT (CTR)'!$D$312:$AF$335,29,0)</f>
        <v>0</v>
      </c>
      <c r="AC7" s="610">
        <f>VLOOKUP(AA7,'CT (CTR)'!$D$278:$AF$301,29,0)</f>
        <v>0</v>
      </c>
      <c r="AD7" s="610">
        <f>VLOOKUP(AA7,'CT (CTR)'!$D$244:$AF$267,29,0)</f>
        <v>3.209839971923675</v>
      </c>
      <c r="AE7" s="610">
        <f>VLOOKUP(AA7,'CT (CTR)'!$D$6:$AH$29,31,0)</f>
        <v>8.0793174617107617</v>
      </c>
      <c r="AF7" s="610">
        <f t="shared" si="0"/>
        <v>11.289157433634436</v>
      </c>
    </row>
    <row r="8" spans="2:32" ht="16.5" x14ac:dyDescent="0.25">
      <c r="B8" s="542" t="s">
        <v>3419</v>
      </c>
      <c r="C8" s="634">
        <v>557.72</v>
      </c>
      <c r="D8" s="637"/>
      <c r="E8" s="637"/>
      <c r="F8" s="637"/>
      <c r="G8" s="673"/>
      <c r="H8" s="674"/>
      <c r="I8" s="674"/>
      <c r="AA8" s="609">
        <v>7</v>
      </c>
      <c r="AB8" s="610">
        <f>VLOOKUP(AA8,'CT (CTR)'!$D$312:$AF$335,29,0)</f>
        <v>0</v>
      </c>
      <c r="AC8" s="610">
        <f>VLOOKUP(AA8,'CT (CTR)'!$D$278:$AF$301,29,0)</f>
        <v>0</v>
      </c>
      <c r="AD8" s="610">
        <f>VLOOKUP(AA8,'CT (CTR)'!$D$244:$AF$267,29,0)</f>
        <v>3.7362295738847608</v>
      </c>
      <c r="AE8" s="610">
        <f>VLOOKUP(AA8,'CT (CTR)'!$D$6:$AH$29,31,0)</f>
        <v>10.511166767978471</v>
      </c>
      <c r="AF8" s="610">
        <f t="shared" si="0"/>
        <v>14.247396341863233</v>
      </c>
    </row>
    <row r="9" spans="2:32" ht="16.5" x14ac:dyDescent="0.3">
      <c r="B9" s="542" t="s">
        <v>3420</v>
      </c>
      <c r="C9" s="634">
        <v>640.24</v>
      </c>
      <c r="D9" s="635">
        <v>1225.31</v>
      </c>
      <c r="E9" s="635">
        <v>798.13</v>
      </c>
      <c r="F9" s="635">
        <v>511.16999999999996</v>
      </c>
      <c r="G9" s="672">
        <f>D9/$C$9-1</f>
        <v>0.9138291890541046</v>
      </c>
      <c r="H9" s="672">
        <f>E9/$C$9-1</f>
        <v>0.24661064600774707</v>
      </c>
      <c r="I9" s="672">
        <f>F9/$C$9-1</f>
        <v>-0.20159627639635147</v>
      </c>
      <c r="AA9" s="609">
        <v>8</v>
      </c>
      <c r="AB9" s="610">
        <f>VLOOKUP(AA9,'CT (CTR)'!$D$312:$AF$335,29,0)</f>
        <v>0</v>
      </c>
      <c r="AC9" s="610">
        <f>VLOOKUP(AA9,'CT (CTR)'!$D$278:$AF$301,29,0)</f>
        <v>0</v>
      </c>
      <c r="AD9" s="610">
        <f>VLOOKUP(AA9,'CT (CTR)'!$D$244:$AF$267,29,0)</f>
        <v>4.8634863051664956</v>
      </c>
      <c r="AE9" s="610">
        <f>VLOOKUP(AA9,'CT (CTR)'!$D$6:$AH$29,31,0)</f>
        <v>10.309399108849981</v>
      </c>
      <c r="AF9" s="610">
        <f t="shared" si="0"/>
        <v>15.172885414016477</v>
      </c>
    </row>
    <row r="10" spans="2:32" ht="16.5" x14ac:dyDescent="0.3">
      <c r="B10" s="542" t="s">
        <v>3421</v>
      </c>
      <c r="C10" s="634">
        <v>681.11</v>
      </c>
      <c r="D10" s="635">
        <v>1497.78</v>
      </c>
      <c r="E10" s="635">
        <v>965.63000000000011</v>
      </c>
      <c r="F10" s="635">
        <v>582.64</v>
      </c>
      <c r="G10" s="672">
        <f>D10/$C$10-1</f>
        <v>1.199028057142018</v>
      </c>
      <c r="H10" s="672">
        <f>E10/$C$10-1</f>
        <v>0.41772988210421236</v>
      </c>
      <c r="I10" s="672">
        <f>F10/$C$10-1</f>
        <v>-0.14457282964572538</v>
      </c>
      <c r="AA10" s="609">
        <v>9</v>
      </c>
      <c r="AB10" s="610">
        <f>VLOOKUP(AA10,'CT (CTR)'!$D$312:$AF$335,29,0)</f>
        <v>0</v>
      </c>
      <c r="AC10" s="610">
        <f>VLOOKUP(AA10,'CT (CTR)'!$D$278:$AF$301,29,0)</f>
        <v>0</v>
      </c>
      <c r="AD10" s="610">
        <f>VLOOKUP(AA10,'CT (CTR)'!$D$244:$AF$267,29,0)</f>
        <v>5.8398201690507952</v>
      </c>
      <c r="AE10" s="610">
        <f>VLOOKUP(AA10,'CT (CTR)'!$D$6:$AH$29,31,0)</f>
        <v>11.373383640089155</v>
      </c>
      <c r="AF10" s="610">
        <f t="shared" si="0"/>
        <v>17.213203809139952</v>
      </c>
    </row>
    <row r="11" spans="2:32" ht="16.5" x14ac:dyDescent="0.3">
      <c r="B11" s="542" t="s">
        <v>3422</v>
      </c>
      <c r="C11" s="636">
        <v>374.61</v>
      </c>
      <c r="D11" s="637"/>
      <c r="E11" s="637"/>
      <c r="F11" s="637"/>
      <c r="G11" s="637"/>
      <c r="H11" s="638"/>
      <c r="I11" s="638"/>
      <c r="AA11" s="609">
        <v>10</v>
      </c>
      <c r="AB11" s="610">
        <f>VLOOKUP(AA11,'CT (CTR)'!$D$312:$AF$335,29,0)</f>
        <v>0</v>
      </c>
      <c r="AC11" s="610">
        <f>VLOOKUP(AA11,'CT (CTR)'!$D$278:$AF$301,29,0)</f>
        <v>0</v>
      </c>
      <c r="AD11" s="610">
        <f>VLOOKUP(AA11,'CT (CTR)'!$D$244:$AF$267,29,0)</f>
        <v>5.9532741120217683</v>
      </c>
      <c r="AE11" s="610">
        <f>VLOOKUP(AA11,'CT (CTR)'!$D$6:$AH$29,31,0)</f>
        <v>12.617742179400011</v>
      </c>
      <c r="AF11" s="610">
        <f t="shared" si="0"/>
        <v>18.571016291421778</v>
      </c>
    </row>
    <row r="12" spans="2:32" x14ac:dyDescent="0.25">
      <c r="B12" s="541"/>
      <c r="AA12" s="609">
        <v>11</v>
      </c>
      <c r="AB12" s="610">
        <f>VLOOKUP(AA12,'CT (CTR)'!$D$312:$AF$335,29,0)</f>
        <v>0</v>
      </c>
      <c r="AC12" s="610">
        <f>VLOOKUP(AA12,'CT (CTR)'!$D$278:$AF$301,29,0)</f>
        <v>0</v>
      </c>
      <c r="AD12" s="610">
        <f>VLOOKUP(AA12,'CT (CTR)'!$D$244:$AF$267,29,0)</f>
        <v>6.1139052031481942</v>
      </c>
      <c r="AE12" s="610">
        <f>VLOOKUP(AA12,'CT (CTR)'!$D$6:$AH$29,31,0)</f>
        <v>13.755441298197979</v>
      </c>
      <c r="AF12" s="610">
        <f t="shared" si="0"/>
        <v>19.869346501346172</v>
      </c>
    </row>
    <row r="13" spans="2:32" ht="16.5" x14ac:dyDescent="0.3">
      <c r="H13" s="272"/>
      <c r="K13" s="543" t="s">
        <v>3423</v>
      </c>
      <c r="AA13" s="609">
        <v>12</v>
      </c>
      <c r="AB13" s="610">
        <f>VLOOKUP(AA13,'CT (CTR)'!$D$312:$AF$335,29,0)</f>
        <v>0</v>
      </c>
      <c r="AC13" s="610">
        <f>VLOOKUP(AA13,'CT (CTR)'!$D$278:$AF$301,29,0)</f>
        <v>0</v>
      </c>
      <c r="AD13" s="610">
        <f>VLOOKUP(AA13,'CT (CTR)'!$D$244:$AF$267,29,0)</f>
        <v>5.8330348882394167</v>
      </c>
      <c r="AE13" s="610">
        <f>VLOOKUP(AA13,'CT (CTR)'!$D$6:$AH$29,31,0)</f>
        <v>14.578945051778357</v>
      </c>
      <c r="AF13" s="610">
        <f t="shared" si="0"/>
        <v>20.411979940017773</v>
      </c>
    </row>
    <row r="14" spans="2:32" ht="16.5" x14ac:dyDescent="0.25">
      <c r="H14" s="547"/>
      <c r="I14" s="547"/>
      <c r="J14" s="547"/>
      <c r="K14" s="884" t="s">
        <v>58</v>
      </c>
      <c r="L14" s="449" t="s">
        <v>720</v>
      </c>
      <c r="M14" s="547"/>
      <c r="N14" s="547"/>
      <c r="O14" s="547"/>
      <c r="P14" s="269"/>
      <c r="Q14" s="269"/>
      <c r="AA14" s="609">
        <v>13</v>
      </c>
      <c r="AB14" s="610">
        <f>VLOOKUP(AA14,'CT (CTR)'!$D$312:$AF$335,29,0)</f>
        <v>0</v>
      </c>
      <c r="AC14" s="610">
        <f>VLOOKUP(AA14,'CT (CTR)'!$D$278:$AF$301,29,0)</f>
        <v>0</v>
      </c>
      <c r="AD14" s="610">
        <f>VLOOKUP(AA14,'CT (CTR)'!$D$244:$AF$267,29,0)</f>
        <v>5.117877240473871</v>
      </c>
      <c r="AE14" s="610">
        <f>VLOOKUP(AA14,'CT (CTR)'!$D$6:$AH$29,31,0)</f>
        <v>14.647967072103235</v>
      </c>
      <c r="AF14" s="610">
        <f>SUM(AB14:AE14)</f>
        <v>19.765844312577105</v>
      </c>
    </row>
    <row r="15" spans="2:32" ht="15" customHeight="1" x14ac:dyDescent="0.25">
      <c r="H15" s="547"/>
      <c r="I15" s="547"/>
      <c r="J15" s="547"/>
      <c r="K15" s="885"/>
      <c r="L15" s="449" t="s">
        <v>502</v>
      </c>
      <c r="M15" s="547"/>
      <c r="N15" s="547"/>
      <c r="O15" s="547"/>
      <c r="AA15" s="609">
        <v>14</v>
      </c>
      <c r="AB15" s="610">
        <f>VLOOKUP(AA15,'CT (CTR)'!$D$312:$AF$335,29,0)</f>
        <v>0</v>
      </c>
      <c r="AC15" s="610">
        <f>VLOOKUP(AA15,'CT (CTR)'!$D$278:$AF$301,29,0)</f>
        <v>0</v>
      </c>
      <c r="AD15" s="610">
        <f>VLOOKUP(AA15,'CT (CTR)'!$D$244:$AF$267,29,0)</f>
        <v>5.9955439489186215</v>
      </c>
      <c r="AE15" s="610">
        <f>VLOOKUP(AA15,'CT (CTR)'!$D$6:$AH$29,31,0)</f>
        <v>12.59315288420852</v>
      </c>
      <c r="AF15" s="610">
        <f t="shared" ref="AF15:AF25" si="1">SUM(AB15:AE15)</f>
        <v>18.588696833127141</v>
      </c>
    </row>
    <row r="16" spans="2:32" ht="16.5" x14ac:dyDescent="0.25">
      <c r="H16" s="548"/>
      <c r="I16" s="549"/>
      <c r="J16" s="550"/>
      <c r="K16" s="450" t="s">
        <v>7</v>
      </c>
      <c r="L16" s="451">
        <f>CM_AT2</f>
        <v>0</v>
      </c>
      <c r="M16" s="898"/>
      <c r="N16" s="549"/>
      <c r="O16" s="899"/>
      <c r="AA16" s="609">
        <v>15</v>
      </c>
      <c r="AB16" s="610">
        <f>VLOOKUP(AA16,'CT (CTR)'!$D$312:$AF$335,29,0)</f>
        <v>0</v>
      </c>
      <c r="AC16" s="610">
        <f>VLOOKUP(AA16,'CT (CTR)'!$D$278:$AF$301,29,0)</f>
        <v>0</v>
      </c>
      <c r="AD16" s="610">
        <f>VLOOKUP(AA16,'CT (CTR)'!$D$244:$AF$267,29,0)</f>
        <v>6.5252221130558903</v>
      </c>
      <c r="AE16" s="610">
        <f>VLOOKUP(AA16,'CT (CTR)'!$D$6:$AH$29,31,0)</f>
        <v>14.128191067883698</v>
      </c>
      <c r="AF16" s="610">
        <f t="shared" si="1"/>
        <v>20.653413180939587</v>
      </c>
    </row>
    <row r="17" spans="8:32" ht="16.5" x14ac:dyDescent="0.25">
      <c r="H17" s="548"/>
      <c r="I17" s="549"/>
      <c r="J17" s="550"/>
      <c r="K17" s="450" t="s">
        <v>8</v>
      </c>
      <c r="L17" s="451">
        <f>CM_AT3</f>
        <v>9.27</v>
      </c>
      <c r="M17" s="898"/>
      <c r="N17" s="549"/>
      <c r="O17" s="899"/>
      <c r="AA17" s="609">
        <v>16</v>
      </c>
      <c r="AB17" s="610">
        <f>VLOOKUP(AA17,'CT (CTR)'!$D$312:$AF$335,29,0)</f>
        <v>0</v>
      </c>
      <c r="AC17" s="610">
        <f>VLOOKUP(AA17,'CT (CTR)'!$D$278:$AF$301,29,0)</f>
        <v>0</v>
      </c>
      <c r="AD17" s="610">
        <f>VLOOKUP(AA17,'CT (CTR)'!$D$244:$AF$267,29,0)</f>
        <v>6.5583715776534053</v>
      </c>
      <c r="AE17" s="610">
        <f>VLOOKUP(AA17,'CT (CTR)'!$D$6:$AH$29,31,0)</f>
        <v>14.15964268139178</v>
      </c>
      <c r="AF17" s="610">
        <f t="shared" si="1"/>
        <v>20.718014259045184</v>
      </c>
    </row>
    <row r="18" spans="8:32" ht="16.5" x14ac:dyDescent="0.25">
      <c r="K18" s="450" t="s">
        <v>6</v>
      </c>
      <c r="L18" s="451">
        <f>CM_MT</f>
        <v>173.25</v>
      </c>
      <c r="M18" s="898"/>
      <c r="N18" s="549"/>
      <c r="O18" s="899"/>
      <c r="AA18" s="609">
        <v>17</v>
      </c>
      <c r="AB18" s="610">
        <f>VLOOKUP(AA18,'CT (CTR)'!$D$312:$AF$335,29,0)</f>
        <v>0</v>
      </c>
      <c r="AC18" s="610">
        <f>VLOOKUP(AA18,'CT (CTR)'!$D$278:$AF$301,29,0)</f>
        <v>0</v>
      </c>
      <c r="AD18" s="610">
        <f>VLOOKUP(AA18,'CT (CTR)'!$D$244:$AF$267,29,0)</f>
        <v>6.5779322560383946</v>
      </c>
      <c r="AE18" s="610">
        <f>VLOOKUP(AA18,'CT (CTR)'!$D$6:$AH$29,31,0)</f>
        <v>13.715867828055345</v>
      </c>
      <c r="AF18" s="610">
        <f t="shared" si="1"/>
        <v>20.293800084093739</v>
      </c>
    </row>
    <row r="19" spans="8:32" ht="16.5" x14ac:dyDescent="0.25">
      <c r="I19" s="458"/>
      <c r="K19" s="450" t="s">
        <v>20</v>
      </c>
      <c r="L19" s="451">
        <f>CM_BT</f>
        <v>225.11</v>
      </c>
      <c r="M19" s="898"/>
      <c r="N19" s="549"/>
      <c r="O19" s="899"/>
      <c r="AA19" s="609">
        <v>18</v>
      </c>
      <c r="AB19" s="610">
        <f>VLOOKUP(AA19,'CT (CTR)'!$D$312:$AF$335,29,0)</f>
        <v>0</v>
      </c>
      <c r="AC19" s="610">
        <f>VLOOKUP(AA19,'CT (CTR)'!$D$278:$AF$301,29,0)</f>
        <v>0</v>
      </c>
      <c r="AD19" s="610">
        <f>VLOOKUP(AA19,'CT (CTR)'!$D$244:$AF$267,29,0)</f>
        <v>5.4608279479560791</v>
      </c>
      <c r="AE19" s="610">
        <f>VLOOKUP(AA19,'CT (CTR)'!$D$6:$AH$29,31,0)</f>
        <v>15.775825497143931</v>
      </c>
      <c r="AF19" s="610">
        <f t="shared" si="1"/>
        <v>21.236653445100011</v>
      </c>
    </row>
    <row r="20" spans="8:32" ht="16.5" x14ac:dyDescent="0.3">
      <c r="N20" s="543" t="s">
        <v>721</v>
      </c>
      <c r="AA20" s="609">
        <v>19</v>
      </c>
      <c r="AB20" s="610">
        <f>VLOOKUP(AA20,'CT (CTR)'!$D$312:$AF$335,29,0)</f>
        <v>0</v>
      </c>
      <c r="AC20" s="610">
        <f>VLOOKUP(AA20,'CT (CTR)'!$D$278:$AF$301,29,0)</f>
        <v>0</v>
      </c>
      <c r="AD20" s="610">
        <f>VLOOKUP(AA20,'CT (CTR)'!$D$244:$AF$267,29,0)</f>
        <v>2.3779111167471134</v>
      </c>
      <c r="AE20" s="610">
        <f>VLOOKUP(AA20,'CT (CTR)'!$D$6:$AH$29,31,0)</f>
        <v>20.570371436847289</v>
      </c>
      <c r="AF20" s="610">
        <f t="shared" si="1"/>
        <v>22.948282553594403</v>
      </c>
    </row>
    <row r="21" spans="8:32" ht="16.5" x14ac:dyDescent="0.25">
      <c r="N21" s="449" t="s">
        <v>58</v>
      </c>
      <c r="O21" s="452" t="s">
        <v>7</v>
      </c>
      <c r="P21" s="452" t="s">
        <v>8</v>
      </c>
      <c r="Q21" s="452" t="s">
        <v>6</v>
      </c>
      <c r="R21" s="452" t="s">
        <v>20</v>
      </c>
      <c r="AA21" s="609">
        <v>20</v>
      </c>
      <c r="AB21" s="610">
        <f>VLOOKUP(AA21,'CT (CTR)'!$D$312:$AF$335,29,0)</f>
        <v>0</v>
      </c>
      <c r="AC21" s="610">
        <f>VLOOKUP(AA21,'CT (CTR)'!$D$278:$AF$301,29,0)</f>
        <v>0</v>
      </c>
      <c r="AD21" s="610">
        <f>VLOOKUP(AA21,'CT (CTR)'!$D$244:$AF$267,29,0)</f>
        <v>2.1973804495621345</v>
      </c>
      <c r="AE21" s="610">
        <f>VLOOKUP(AA21,'CT (CTR)'!$D$6:$AH$29,31,0)</f>
        <v>20.999223142417978</v>
      </c>
      <c r="AF21" s="610">
        <f t="shared" si="1"/>
        <v>23.196603591980114</v>
      </c>
    </row>
    <row r="22" spans="8:32" ht="16.5" x14ac:dyDescent="0.25">
      <c r="N22" s="450" t="s">
        <v>7</v>
      </c>
      <c r="O22" s="453">
        <f>PF_AT2_AT2</f>
        <v>0</v>
      </c>
      <c r="P22" s="536"/>
      <c r="Q22" s="536"/>
      <c r="R22" s="536"/>
      <c r="S22" s="549"/>
      <c r="AA22" s="609">
        <v>21</v>
      </c>
      <c r="AB22" s="610">
        <f>VLOOKUP(AA22,'CT (CTR)'!$D$312:$AF$335,29,0)</f>
        <v>0</v>
      </c>
      <c r="AC22" s="610">
        <f>VLOOKUP(AA22,'CT (CTR)'!$D$278:$AF$301,29,0)</f>
        <v>0</v>
      </c>
      <c r="AD22" s="610">
        <f>VLOOKUP(AA22,'CT (CTR)'!$D$244:$AF$267,29,0)</f>
        <v>1.9696843870310794</v>
      </c>
      <c r="AE22" s="610">
        <f>VLOOKUP(AA22,'CT (CTR)'!$D$6:$AH$29,31,0)</f>
        <v>21.277952513427746</v>
      </c>
      <c r="AF22" s="610">
        <f t="shared" si="1"/>
        <v>23.247636900458826</v>
      </c>
    </row>
    <row r="23" spans="8:32" ht="16.5" x14ac:dyDescent="0.25">
      <c r="N23" s="450" t="s">
        <v>8</v>
      </c>
      <c r="O23" s="453">
        <f>PF_AT2_AT3</f>
        <v>0</v>
      </c>
      <c r="P23" s="453">
        <f>PF_AT3_AT3</f>
        <v>1</v>
      </c>
      <c r="Q23" s="536"/>
      <c r="R23" s="536"/>
      <c r="S23" s="549"/>
      <c r="AA23" s="609">
        <v>22</v>
      </c>
      <c r="AB23" s="610">
        <f>VLOOKUP(AA23,'CT (CTR)'!$D$312:$AF$335,29,0)</f>
        <v>0</v>
      </c>
      <c r="AC23" s="610">
        <f>VLOOKUP(AA23,'CT (CTR)'!$D$278:$AF$301,29,0)</f>
        <v>0</v>
      </c>
      <c r="AD23" s="610">
        <f>VLOOKUP(AA23,'CT (CTR)'!$D$244:$AF$267,29,0)</f>
        <v>3.6717451575101343</v>
      </c>
      <c r="AE23" s="610">
        <f>VLOOKUP(AA23,'CT (CTR)'!$D$6:$AH$29,31,0)</f>
        <v>17.433349252646376</v>
      </c>
      <c r="AF23" s="610">
        <f t="shared" si="1"/>
        <v>21.105094410156511</v>
      </c>
    </row>
    <row r="24" spans="8:32" ht="16.5" x14ac:dyDescent="0.25">
      <c r="N24" s="450" t="s">
        <v>6</v>
      </c>
      <c r="O24" s="453">
        <f>PF_AT2_MT</f>
        <v>0</v>
      </c>
      <c r="P24" s="453">
        <f>PF_AT3_MT</f>
        <v>0.31090121999199999</v>
      </c>
      <c r="Q24" s="453">
        <f>PF_MT_MT</f>
        <v>1</v>
      </c>
      <c r="R24" s="536"/>
      <c r="S24" s="549"/>
      <c r="AA24" s="609">
        <v>23</v>
      </c>
      <c r="AB24" s="610">
        <f>VLOOKUP(AA24,'CT (CTR)'!$D$312:$AF$335,29,0)</f>
        <v>0</v>
      </c>
      <c r="AC24" s="610">
        <f>VLOOKUP(AA24,'CT (CTR)'!$D$278:$AF$301,29,0)</f>
        <v>0</v>
      </c>
      <c r="AD24" s="610">
        <f>VLOOKUP(AA24,'CT (CTR)'!$D$244:$AF$267,29,0)</f>
        <v>3.8684173942412801</v>
      </c>
      <c r="AE24" s="610">
        <f>VLOOKUP(AA24,'CT (CTR)'!$D$6:$AH$29,31,0)</f>
        <v>14.808280656350849</v>
      </c>
      <c r="AF24" s="610">
        <f t="shared" si="1"/>
        <v>18.67669805059213</v>
      </c>
    </row>
    <row r="25" spans="8:32" ht="16.5" x14ac:dyDescent="0.25">
      <c r="N25" s="450" t="s">
        <v>20</v>
      </c>
      <c r="O25" s="453">
        <f>PF_AT2_BT</f>
        <v>0</v>
      </c>
      <c r="P25" s="453">
        <f>PF_AT3_BT</f>
        <v>0.31090121999199999</v>
      </c>
      <c r="Q25" s="453">
        <f>PF_MT_BT</f>
        <v>1</v>
      </c>
      <c r="R25" s="453">
        <f>PF_BT_BT</f>
        <v>1</v>
      </c>
      <c r="S25" s="669"/>
      <c r="AA25" s="609">
        <v>24</v>
      </c>
      <c r="AB25" s="610">
        <f>VLOOKUP(AA25,'CT (CTR)'!$D$312:$AF$335,29,0)</f>
        <v>0</v>
      </c>
      <c r="AC25" s="610">
        <f>VLOOKUP(AA25,'CT (CTR)'!$D$278:$AF$301,29,0)</f>
        <v>0</v>
      </c>
      <c r="AD25" s="610">
        <f>VLOOKUP(AA25,'CT (CTR)'!$D$244:$AF$267,29,0)</f>
        <v>3.4294251309721897</v>
      </c>
      <c r="AE25" s="610">
        <f>VLOOKUP(AA25,'CT (CTR)'!$D$6:$AH$29,31,0)</f>
        <v>11.837291322934687</v>
      </c>
      <c r="AF25" s="610">
        <f t="shared" si="1"/>
        <v>15.266716453906877</v>
      </c>
    </row>
    <row r="27" spans="8:32" x14ac:dyDescent="0.25">
      <c r="Q27" s="668"/>
      <c r="R27" s="668"/>
    </row>
    <row r="28" spans="8:32" ht="16.5" x14ac:dyDescent="0.25">
      <c r="Q28" s="668"/>
      <c r="R28" s="668"/>
      <c r="T28" s="546" t="s">
        <v>3569</v>
      </c>
    </row>
    <row r="29" spans="8:32" ht="16.5" x14ac:dyDescent="0.25">
      <c r="Q29" s="668"/>
      <c r="R29" s="668"/>
      <c r="T29" s="881" t="s">
        <v>3354</v>
      </c>
      <c r="U29" s="882"/>
      <c r="V29" s="883"/>
    </row>
    <row r="30" spans="8:32" ht="16.5" x14ac:dyDescent="0.25">
      <c r="Q30" s="668"/>
      <c r="R30" s="668"/>
      <c r="T30" s="452" t="s">
        <v>3355</v>
      </c>
      <c r="U30" s="452" t="s">
        <v>3356</v>
      </c>
      <c r="V30" s="452" t="s">
        <v>3357</v>
      </c>
    </row>
    <row r="31" spans="8:32" ht="33" x14ac:dyDescent="0.25">
      <c r="Q31" s="668"/>
      <c r="R31" s="668"/>
      <c r="T31" s="715" t="s">
        <v>3612</v>
      </c>
      <c r="U31" s="716" t="s">
        <v>3613</v>
      </c>
      <c r="V31" s="716" t="s">
        <v>3614</v>
      </c>
    </row>
    <row r="32" spans="8:32" ht="33" hidden="1" x14ac:dyDescent="0.25">
      <c r="Q32" s="668"/>
      <c r="R32" s="668"/>
      <c r="T32" s="535" t="s">
        <v>3359</v>
      </c>
      <c r="U32" s="536" t="s">
        <v>3358</v>
      </c>
      <c r="V32" s="536" t="s">
        <v>3360</v>
      </c>
    </row>
    <row r="33" spans="8:34" x14ac:dyDescent="0.25">
      <c r="Q33" s="668"/>
      <c r="R33" s="668"/>
    </row>
    <row r="34" spans="8:34" ht="16.5" x14ac:dyDescent="0.25">
      <c r="Q34" s="668"/>
      <c r="R34" s="668"/>
      <c r="T34" s="881" t="s">
        <v>3361</v>
      </c>
      <c r="U34" s="882"/>
      <c r="V34" s="882"/>
      <c r="W34" s="882"/>
      <c r="X34" s="883"/>
    </row>
    <row r="35" spans="8:34" ht="16.5" x14ac:dyDescent="0.25">
      <c r="Q35" s="668"/>
      <c r="R35" s="668"/>
      <c r="T35" s="452" t="s">
        <v>3355</v>
      </c>
      <c r="U35" s="452" t="s">
        <v>3356</v>
      </c>
      <c r="V35" s="452" t="s">
        <v>3362</v>
      </c>
      <c r="W35" s="891" t="s">
        <v>3357</v>
      </c>
      <c r="X35" s="891"/>
    </row>
    <row r="36" spans="8:34" ht="16.5" customHeight="1" x14ac:dyDescent="0.25">
      <c r="Q36" s="668"/>
      <c r="R36" s="668"/>
      <c r="T36" s="889" t="s">
        <v>3612</v>
      </c>
      <c r="U36" s="890" t="s">
        <v>3615</v>
      </c>
      <c r="V36" s="716" t="s">
        <v>3616</v>
      </c>
      <c r="W36" s="892" t="s">
        <v>3614</v>
      </c>
      <c r="X36" s="892"/>
    </row>
    <row r="37" spans="8:34" ht="16.5" x14ac:dyDescent="0.25">
      <c r="Q37" s="668"/>
      <c r="R37" s="668"/>
      <c r="T37" s="889"/>
      <c r="U37" s="890"/>
      <c r="V37" s="716" t="s">
        <v>3617</v>
      </c>
      <c r="W37" s="892"/>
      <c r="X37" s="892"/>
    </row>
    <row r="38" spans="8:34" ht="16.5" hidden="1" customHeight="1" x14ac:dyDescent="0.25">
      <c r="Q38" s="668"/>
      <c r="R38" s="668"/>
      <c r="T38" s="895" t="s">
        <v>3359</v>
      </c>
      <c r="U38" s="896" t="s">
        <v>3358</v>
      </c>
      <c r="V38" s="536" t="s">
        <v>3363</v>
      </c>
      <c r="W38" s="897" t="s">
        <v>3360</v>
      </c>
      <c r="X38" s="897"/>
    </row>
    <row r="39" spans="8:34" ht="16.5" hidden="1" x14ac:dyDescent="0.25">
      <c r="Q39" s="668"/>
      <c r="R39" s="668"/>
      <c r="T39" s="895"/>
      <c r="U39" s="896"/>
      <c r="V39" s="536" t="s">
        <v>3363</v>
      </c>
      <c r="W39" s="897"/>
      <c r="X39" s="897"/>
    </row>
    <row r="40" spans="8:34" ht="16.5" x14ac:dyDescent="0.25">
      <c r="Z40" s="546" t="s">
        <v>723</v>
      </c>
    </row>
    <row r="41" spans="8:34" ht="16.5" x14ac:dyDescent="0.25">
      <c r="Z41" s="449" t="s">
        <v>58</v>
      </c>
      <c r="AA41" s="452" t="s">
        <v>7</v>
      </c>
      <c r="AB41" s="452" t="s">
        <v>8</v>
      </c>
      <c r="AC41" s="452" t="s">
        <v>6</v>
      </c>
      <c r="AD41" s="452" t="s">
        <v>20</v>
      </c>
    </row>
    <row r="42" spans="8:34" ht="16.5" x14ac:dyDescent="0.25">
      <c r="Z42" s="449" t="s">
        <v>7</v>
      </c>
      <c r="AA42" s="454">
        <f>FPP_AT2_AT2</f>
        <v>0</v>
      </c>
      <c r="AB42" s="536"/>
      <c r="AC42" s="536"/>
      <c r="AD42" s="536"/>
    </row>
    <row r="43" spans="8:34" ht="16.5" x14ac:dyDescent="0.25">
      <c r="Z43" s="449" t="s">
        <v>8</v>
      </c>
      <c r="AA43" s="454">
        <f>FPP_AT2_AT3</f>
        <v>0</v>
      </c>
      <c r="AB43" s="454">
        <f>FPP_AT3_AT3</f>
        <v>0</v>
      </c>
      <c r="AC43" s="536"/>
      <c r="AD43" s="536"/>
    </row>
    <row r="44" spans="8:34" ht="16.5" x14ac:dyDescent="0.25">
      <c r="Z44" s="449" t="s">
        <v>6</v>
      </c>
      <c r="AA44" s="454">
        <f>FPP_AT2_MT</f>
        <v>0</v>
      </c>
      <c r="AB44" s="454">
        <f>FPP_AT3_MT</f>
        <v>0</v>
      </c>
      <c r="AC44" s="454">
        <f>FPP_MT_MT</f>
        <v>1.7459490000000001E-2</v>
      </c>
      <c r="AD44" s="536"/>
    </row>
    <row r="45" spans="8:34" ht="16.5" x14ac:dyDescent="0.25">
      <c r="Z45" s="449" t="s">
        <v>20</v>
      </c>
      <c r="AA45" s="454">
        <f>FPP_AT2_BT</f>
        <v>0</v>
      </c>
      <c r="AB45" s="454">
        <f>FPP_AT3_BT</f>
        <v>0</v>
      </c>
      <c r="AC45" s="454">
        <f>FPP_MT_BT</f>
        <v>5.1865330000000001E-2</v>
      </c>
      <c r="AD45" s="454">
        <f>FPP_BT_BT</f>
        <v>9.9372999999999996E-3</v>
      </c>
    </row>
    <row r="47" spans="8:34" ht="16.5" x14ac:dyDescent="0.3">
      <c r="H47" s="543"/>
      <c r="AF47" s="543" t="s">
        <v>724</v>
      </c>
    </row>
    <row r="48" spans="8:34" ht="16.5" x14ac:dyDescent="0.25">
      <c r="AF48" s="449" t="s">
        <v>58</v>
      </c>
      <c r="AG48" s="449" t="s">
        <v>3364</v>
      </c>
      <c r="AH48" s="449" t="s">
        <v>3364</v>
      </c>
    </row>
    <row r="49" spans="30:48" ht="16.5" x14ac:dyDescent="0.25">
      <c r="AF49" s="449"/>
      <c r="AG49" s="449" t="s">
        <v>3366</v>
      </c>
      <c r="AH49" s="449" t="s">
        <v>3365</v>
      </c>
    </row>
    <row r="50" spans="30:48" ht="16.5" hidden="1" x14ac:dyDescent="0.25">
      <c r="AF50" s="450" t="s">
        <v>7</v>
      </c>
      <c r="AG50" s="455">
        <f>'FIO B'!K17</f>
        <v>0</v>
      </c>
      <c r="AH50" s="455">
        <f>'DADOS-Diversos'!C15</f>
        <v>0</v>
      </c>
    </row>
    <row r="51" spans="30:48" ht="16.5" hidden="1" x14ac:dyDescent="0.25">
      <c r="AF51" s="450" t="s">
        <v>8</v>
      </c>
      <c r="AG51" s="455">
        <f>'FIO B'!K18</f>
        <v>0</v>
      </c>
      <c r="AH51" s="455">
        <f>'DADOS-Diversos'!C16</f>
        <v>0</v>
      </c>
    </row>
    <row r="52" spans="30:48" ht="16.5" x14ac:dyDescent="0.25">
      <c r="AF52" s="450" t="s">
        <v>6</v>
      </c>
      <c r="AG52" s="455">
        <f>'FIO B'!K19</f>
        <v>0.169880070649267</v>
      </c>
      <c r="AH52" s="455">
        <f>'DADOS-Diversos'!C17</f>
        <v>7.4348741895556417E-2</v>
      </c>
    </row>
    <row r="53" spans="30:48" ht="16.5" x14ac:dyDescent="0.25">
      <c r="AF53" s="450" t="s">
        <v>20</v>
      </c>
      <c r="AG53" s="455">
        <f>'FIO B'!K20</f>
        <v>0.8301199293507332</v>
      </c>
      <c r="AH53" s="455">
        <f>'DADOS-Diversos'!C19</f>
        <v>0.9256512581044436</v>
      </c>
    </row>
    <row r="55" spans="30:48" x14ac:dyDescent="0.25">
      <c r="AD55" s="282"/>
    </row>
    <row r="56" spans="30:48" ht="15.75" x14ac:dyDescent="0.25">
      <c r="AS56" s="272" t="s">
        <v>729</v>
      </c>
    </row>
    <row r="57" spans="30:48" ht="16.5" x14ac:dyDescent="0.25">
      <c r="AS57" s="452"/>
      <c r="AT57" s="893" t="s">
        <v>337</v>
      </c>
      <c r="AU57" s="893"/>
      <c r="AV57" s="452" t="s">
        <v>725</v>
      </c>
    </row>
    <row r="58" spans="30:48" ht="16.5" x14ac:dyDescent="0.25">
      <c r="AS58" s="894" t="s">
        <v>58</v>
      </c>
      <c r="AT58" s="452" t="s">
        <v>726</v>
      </c>
      <c r="AU58" s="893" t="s">
        <v>728</v>
      </c>
      <c r="AV58" s="893"/>
    </row>
    <row r="59" spans="30:48" ht="16.5" customHeight="1" x14ac:dyDescent="0.25">
      <c r="AS59" s="894"/>
      <c r="AT59" s="449" t="s">
        <v>727</v>
      </c>
      <c r="AU59" s="893"/>
      <c r="AV59" s="893"/>
    </row>
    <row r="60" spans="30:48" ht="16.5" hidden="1" x14ac:dyDescent="0.25">
      <c r="AS60" s="450" t="s">
        <v>7</v>
      </c>
      <c r="AT60" s="456">
        <f>'DADOS-Diversos'!D15</f>
        <v>0</v>
      </c>
      <c r="AU60" s="456">
        <f>'FIO B'!E35</f>
        <v>0</v>
      </c>
      <c r="AV60" s="457"/>
    </row>
    <row r="61" spans="30:48" ht="16.5" hidden="1" x14ac:dyDescent="0.25">
      <c r="AS61" s="450" t="s">
        <v>8</v>
      </c>
      <c r="AT61" s="456">
        <f>'DADOS-Diversos'!D16</f>
        <v>0</v>
      </c>
      <c r="AU61" s="456">
        <f>'FIO B'!E36</f>
        <v>0</v>
      </c>
      <c r="AV61" s="457"/>
    </row>
    <row r="62" spans="30:48" ht="16.5" x14ac:dyDescent="0.25">
      <c r="AS62" s="450" t="s">
        <v>6</v>
      </c>
      <c r="AT62" s="456">
        <f>'DADOS-Diversos'!D17</f>
        <v>1.9582919563058587</v>
      </c>
      <c r="AU62" s="456">
        <f>'FIO B'!E37</f>
        <v>2.1990315093576176</v>
      </c>
      <c r="AV62" s="457"/>
    </row>
    <row r="63" spans="30:48" ht="16.5" hidden="1" x14ac:dyDescent="0.25">
      <c r="AS63" s="450" t="s">
        <v>19</v>
      </c>
      <c r="AT63" s="456">
        <f>'DADOS-Diversos'!D18</f>
        <v>0</v>
      </c>
      <c r="AU63" s="456">
        <f>'FIO B'!E38</f>
        <v>0</v>
      </c>
      <c r="AV63" s="457"/>
    </row>
    <row r="64" spans="30:48" ht="16.5" x14ac:dyDescent="0.25">
      <c r="AS64" s="450" t="s">
        <v>20</v>
      </c>
      <c r="AT64" s="456">
        <v>5</v>
      </c>
      <c r="AU64" s="456">
        <v>5</v>
      </c>
      <c r="AV64" s="456">
        <v>3</v>
      </c>
    </row>
    <row r="67" spans="2:58" ht="15.75" customHeight="1" x14ac:dyDescent="0.25"/>
    <row r="69" spans="2:58" ht="15.75" x14ac:dyDescent="0.25">
      <c r="AX69" s="272" t="s">
        <v>3570</v>
      </c>
    </row>
    <row r="70" spans="2:58" ht="16.5" x14ac:dyDescent="0.25">
      <c r="AX70" s="452" t="s">
        <v>3424</v>
      </c>
      <c r="AY70" s="551" t="s">
        <v>3425</v>
      </c>
      <c r="AZ70" s="881" t="s">
        <v>3429</v>
      </c>
      <c r="BA70" s="882"/>
      <c r="BB70" s="882"/>
      <c r="BC70" s="883"/>
    </row>
    <row r="71" spans="2:58" ht="16.5" x14ac:dyDescent="0.25">
      <c r="AX71" s="449"/>
      <c r="AY71" s="452"/>
      <c r="AZ71" s="452" t="s">
        <v>3426</v>
      </c>
      <c r="BA71" s="452" t="s">
        <v>3427</v>
      </c>
      <c r="BB71" s="452" t="s">
        <v>3428</v>
      </c>
      <c r="BC71" s="452" t="s">
        <v>30</v>
      </c>
    </row>
    <row r="72" spans="2:58" ht="16.5" x14ac:dyDescent="0.25">
      <c r="AX72" s="630" t="e">
        <f>'CCD_(nome Acessante)'!B3:C3</f>
        <v>#VALUE!</v>
      </c>
      <c r="AY72" s="631" t="s">
        <v>3430</v>
      </c>
      <c r="AZ72" s="632"/>
      <c r="BA72" s="632"/>
      <c r="BB72" s="632"/>
      <c r="BC72" s="632">
        <f>SUM(AZ72:BB72)</f>
        <v>0</v>
      </c>
    </row>
    <row r="73" spans="2:58" ht="16.5" x14ac:dyDescent="0.25">
      <c r="AX73" s="633"/>
      <c r="AY73" s="631" t="s">
        <v>3431</v>
      </c>
      <c r="AZ73" s="632"/>
      <c r="BA73" s="632"/>
      <c r="BB73" s="632"/>
      <c r="BC73" s="632">
        <f>SUM(AZ73:BB73)</f>
        <v>0</v>
      </c>
    </row>
    <row r="74" spans="2:58" ht="16.5" x14ac:dyDescent="0.25">
      <c r="B74" s="670"/>
      <c r="C74" s="670"/>
      <c r="D74" s="671"/>
      <c r="E74" s="670"/>
      <c r="F74" s="671"/>
      <c r="G74" s="670"/>
      <c r="H74" s="670"/>
      <c r="I74" s="670"/>
      <c r="J74" s="670"/>
      <c r="AX74" s="633"/>
      <c r="AY74" s="631" t="s">
        <v>3432</v>
      </c>
      <c r="AZ74" s="632"/>
      <c r="BA74" s="632"/>
      <c r="BB74" s="632"/>
      <c r="BC74" s="632">
        <f>SUM(AZ74:BB74)</f>
        <v>0</v>
      </c>
    </row>
    <row r="75" spans="2:58" ht="16.5" x14ac:dyDescent="0.25">
      <c r="B75" s="670"/>
      <c r="C75" s="670"/>
      <c r="D75" s="670"/>
      <c r="E75" s="670"/>
      <c r="F75" s="670"/>
      <c r="G75" s="670"/>
      <c r="H75" s="670"/>
      <c r="I75" s="670"/>
      <c r="J75" s="670"/>
      <c r="AX75" s="633"/>
      <c r="AY75" s="631" t="s">
        <v>3433</v>
      </c>
      <c r="AZ75" s="632"/>
      <c r="BA75" s="632"/>
      <c r="BB75" s="632"/>
      <c r="BC75" s="632">
        <f>SUM(AZ75:BB75)</f>
        <v>0</v>
      </c>
    </row>
    <row r="76" spans="2:58" ht="16.5" customHeight="1" x14ac:dyDescent="0.25">
      <c r="B76" s="670"/>
      <c r="C76" s="670"/>
      <c r="D76" s="670"/>
      <c r="E76" s="670"/>
      <c r="F76" s="670"/>
      <c r="G76" s="670"/>
      <c r="H76" s="670"/>
      <c r="I76" s="670"/>
      <c r="J76" s="670"/>
      <c r="AX76" s="633"/>
      <c r="AY76" s="631"/>
      <c r="AZ76" s="632"/>
      <c r="BA76" s="632"/>
      <c r="BB76" s="632"/>
      <c r="BC76" s="632">
        <f>SUM(AZ76:BB76)</f>
        <v>0</v>
      </c>
    </row>
    <row r="77" spans="2:58" ht="15.75" x14ac:dyDescent="0.25">
      <c r="B77" s="670"/>
      <c r="C77" s="670"/>
      <c r="D77" s="670"/>
      <c r="E77" s="670"/>
      <c r="F77" s="670"/>
      <c r="G77" s="670"/>
      <c r="H77" s="670"/>
      <c r="I77" s="670"/>
      <c r="J77" s="670"/>
      <c r="BE77" s="272" t="s">
        <v>3571</v>
      </c>
    </row>
    <row r="78" spans="2:58" ht="39.75" customHeight="1" x14ac:dyDescent="0.25">
      <c r="B78" s="670"/>
      <c r="C78" s="670"/>
      <c r="D78" s="670"/>
      <c r="E78" s="670"/>
      <c r="F78" s="670"/>
      <c r="G78" s="670"/>
      <c r="H78" s="670"/>
      <c r="I78" s="670"/>
      <c r="J78" s="670"/>
      <c r="BE78" s="552" t="s">
        <v>3434</v>
      </c>
      <c r="BF78" s="552" t="s">
        <v>3435</v>
      </c>
    </row>
    <row r="79" spans="2:58" ht="16.5" x14ac:dyDescent="0.25">
      <c r="B79" s="670"/>
      <c r="C79" s="670"/>
      <c r="D79" s="670"/>
      <c r="E79" s="670"/>
      <c r="F79" s="670"/>
      <c r="G79" s="670"/>
      <c r="H79" s="670"/>
      <c r="I79" s="670"/>
      <c r="J79" s="670"/>
      <c r="BE79" s="553"/>
      <c r="BF79" s="552" t="s">
        <v>29</v>
      </c>
    </row>
    <row r="80" spans="2:58" ht="16.5" x14ac:dyDescent="0.25">
      <c r="B80" s="670"/>
      <c r="C80" s="670"/>
      <c r="D80" s="670"/>
      <c r="E80" s="670"/>
      <c r="F80" s="670"/>
      <c r="G80" s="670"/>
      <c r="H80" s="670"/>
      <c r="I80" s="670"/>
      <c r="J80" s="670"/>
      <c r="BE80" s="554" t="s">
        <v>3436</v>
      </c>
      <c r="BF80" s="639">
        <v>731958.43055003881</v>
      </c>
    </row>
    <row r="81" spans="2:58" ht="16.5" x14ac:dyDescent="0.25">
      <c r="B81" s="670"/>
      <c r="C81" s="670"/>
      <c r="D81" s="670"/>
      <c r="E81" s="670"/>
      <c r="F81" s="670"/>
      <c r="G81" s="670"/>
      <c r="H81" s="670"/>
      <c r="I81" s="670"/>
      <c r="J81" s="670"/>
      <c r="BE81" s="554" t="s">
        <v>3437</v>
      </c>
      <c r="BF81" s="639">
        <v>0</v>
      </c>
    </row>
    <row r="82" spans="2:58" ht="16.5" x14ac:dyDescent="0.25">
      <c r="B82" s="670"/>
      <c r="C82" s="670"/>
      <c r="D82" s="670"/>
      <c r="E82" s="670"/>
      <c r="F82" s="670"/>
      <c r="G82" s="670"/>
      <c r="H82" s="670"/>
      <c r="I82" s="670"/>
      <c r="J82" s="670"/>
      <c r="BE82" s="554" t="s">
        <v>3438</v>
      </c>
      <c r="BF82" s="639">
        <v>0</v>
      </c>
    </row>
    <row r="83" spans="2:58" ht="16.5" x14ac:dyDescent="0.25">
      <c r="B83" s="670"/>
      <c r="C83" s="670"/>
      <c r="D83" s="670"/>
      <c r="E83" s="670"/>
      <c r="F83" s="670"/>
      <c r="G83" s="670"/>
      <c r="H83" s="670"/>
      <c r="I83" s="670"/>
      <c r="J83" s="670"/>
      <c r="BE83" s="554" t="s">
        <v>3439</v>
      </c>
      <c r="BF83" s="639">
        <v>6214.3120031659637</v>
      </c>
    </row>
    <row r="84" spans="2:58" ht="16.5" x14ac:dyDescent="0.25">
      <c r="B84" s="670"/>
      <c r="C84" s="670"/>
      <c r="D84" s="670"/>
      <c r="E84" s="670"/>
      <c r="F84" s="670"/>
      <c r="G84" s="670"/>
      <c r="H84" s="670"/>
      <c r="I84" s="670"/>
      <c r="J84" s="670"/>
      <c r="BE84" s="554" t="s">
        <v>3440</v>
      </c>
      <c r="BF84" s="639">
        <v>1021.703407057906</v>
      </c>
    </row>
    <row r="85" spans="2:58" ht="16.5" x14ac:dyDescent="0.25">
      <c r="B85" s="670"/>
      <c r="C85" s="670"/>
      <c r="D85" s="670"/>
      <c r="E85" s="670"/>
      <c r="F85" s="670"/>
      <c r="G85" s="670"/>
      <c r="H85" s="670"/>
      <c r="I85" s="670"/>
      <c r="J85" s="670"/>
      <c r="BE85" s="554" t="s">
        <v>3441</v>
      </c>
      <c r="BF85" s="639">
        <v>0</v>
      </c>
    </row>
    <row r="86" spans="2:58" ht="16.5" x14ac:dyDescent="0.25">
      <c r="B86" s="555" t="s">
        <v>3443</v>
      </c>
      <c r="C86" s="556"/>
      <c r="D86" s="541" t="s">
        <v>3412</v>
      </c>
      <c r="BE86" s="554" t="s">
        <v>3442</v>
      </c>
      <c r="BF86" s="639">
        <v>350751.38592752413</v>
      </c>
    </row>
    <row r="87" spans="2:58" ht="5.25" customHeight="1" x14ac:dyDescent="0.25"/>
    <row r="88" spans="2:58" x14ac:dyDescent="0.25">
      <c r="I88" s="296" t="s">
        <v>3444</v>
      </c>
      <c r="J88" s="193"/>
    </row>
    <row r="89" spans="2:58" x14ac:dyDescent="0.25">
      <c r="I89" s="193" t="s">
        <v>3445</v>
      </c>
      <c r="J89" s="193"/>
    </row>
    <row r="90" spans="2:58" x14ac:dyDescent="0.25">
      <c r="I90" s="557" t="s">
        <v>142</v>
      </c>
      <c r="J90" s="558" t="s">
        <v>3446</v>
      </c>
    </row>
    <row r="91" spans="2:58" x14ac:dyDescent="0.25">
      <c r="I91" s="559" t="s">
        <v>156</v>
      </c>
      <c r="J91" s="560">
        <v>0</v>
      </c>
    </row>
    <row r="92" spans="2:58" x14ac:dyDescent="0.25">
      <c r="I92" s="559" t="s">
        <v>157</v>
      </c>
      <c r="J92" s="560">
        <v>0</v>
      </c>
    </row>
    <row r="93" spans="2:58" x14ac:dyDescent="0.25">
      <c r="I93" s="559" t="s">
        <v>158</v>
      </c>
      <c r="J93" s="560">
        <v>0</v>
      </c>
    </row>
    <row r="94" spans="2:58" x14ac:dyDescent="0.25">
      <c r="I94" s="559" t="s">
        <v>159</v>
      </c>
      <c r="J94" s="560">
        <v>0.215</v>
      </c>
    </row>
    <row r="95" spans="2:58" x14ac:dyDescent="0.25">
      <c r="I95" s="559" t="s">
        <v>19</v>
      </c>
      <c r="J95" s="560">
        <v>0</v>
      </c>
    </row>
    <row r="96" spans="2:58" x14ac:dyDescent="0.25">
      <c r="I96" s="559" t="s">
        <v>633</v>
      </c>
      <c r="J96" s="560">
        <v>0.16840898571845053</v>
      </c>
    </row>
    <row r="97" spans="9:13" x14ac:dyDescent="0.25">
      <c r="I97" s="559" t="s">
        <v>635</v>
      </c>
      <c r="J97" s="560">
        <v>0.24917928462451733</v>
      </c>
    </row>
    <row r="98" spans="9:13" x14ac:dyDescent="0.25">
      <c r="I98" s="559" t="s">
        <v>637</v>
      </c>
      <c r="J98" s="560">
        <v>0.17062330190029251</v>
      </c>
    </row>
    <row r="99" spans="9:13" x14ac:dyDescent="0.25">
      <c r="I99" s="559" t="s">
        <v>643</v>
      </c>
      <c r="J99" s="560">
        <v>0.16944900010604824</v>
      </c>
    </row>
    <row r="100" spans="9:13" x14ac:dyDescent="0.25">
      <c r="I100" s="559" t="s">
        <v>3447</v>
      </c>
      <c r="J100" s="560">
        <v>0.215</v>
      </c>
    </row>
    <row r="101" spans="9:13" x14ac:dyDescent="0.25">
      <c r="I101" s="559" t="s">
        <v>160</v>
      </c>
      <c r="J101" s="560">
        <v>0.16899831723144576</v>
      </c>
    </row>
    <row r="102" spans="9:13" x14ac:dyDescent="0.25">
      <c r="I102" s="559" t="s">
        <v>3448</v>
      </c>
      <c r="J102" s="560">
        <v>0.1782</v>
      </c>
    </row>
    <row r="104" spans="9:13" x14ac:dyDescent="0.25">
      <c r="I104" s="296" t="s">
        <v>3449</v>
      </c>
    </row>
    <row r="105" spans="9:13" x14ac:dyDescent="0.25">
      <c r="I105" s="193" t="s">
        <v>3450</v>
      </c>
    </row>
    <row r="106" spans="9:13" x14ac:dyDescent="0.25">
      <c r="I106" s="296" t="s">
        <v>3451</v>
      </c>
    </row>
    <row r="107" spans="9:13" x14ac:dyDescent="0.25">
      <c r="I107" s="193" t="s">
        <v>3452</v>
      </c>
    </row>
    <row r="108" spans="9:13" x14ac:dyDescent="0.25">
      <c r="I108" s="296" t="s">
        <v>3453</v>
      </c>
    </row>
    <row r="109" spans="9:13" x14ac:dyDescent="0.25">
      <c r="I109" s="193" t="s">
        <v>3454</v>
      </c>
    </row>
    <row r="110" spans="9:13" x14ac:dyDescent="0.25">
      <c r="I110" s="557" t="s">
        <v>142</v>
      </c>
      <c r="J110" s="557" t="s">
        <v>3455</v>
      </c>
      <c r="K110" s="557" t="s">
        <v>3456</v>
      </c>
      <c r="L110" s="557" t="s">
        <v>3457</v>
      </c>
      <c r="M110" s="557" t="s">
        <v>3458</v>
      </c>
    </row>
    <row r="111" spans="9:13" x14ac:dyDescent="0.25">
      <c r="I111" s="653" t="s">
        <v>156</v>
      </c>
      <c r="J111" s="559" t="s">
        <v>3459</v>
      </c>
      <c r="K111" s="560">
        <v>0</v>
      </c>
      <c r="L111" s="560">
        <v>0</v>
      </c>
      <c r="M111" s="560">
        <v>0</v>
      </c>
    </row>
    <row r="112" spans="9:13" x14ac:dyDescent="0.25">
      <c r="I112" s="653" t="s">
        <v>157</v>
      </c>
      <c r="J112" s="559" t="s">
        <v>3459</v>
      </c>
      <c r="K112" s="560">
        <v>0</v>
      </c>
      <c r="L112" s="560">
        <v>0</v>
      </c>
      <c r="M112" s="560">
        <v>0</v>
      </c>
    </row>
    <row r="113" spans="9:13" x14ac:dyDescent="0.25">
      <c r="I113" s="903" t="s">
        <v>158</v>
      </c>
      <c r="J113" s="559" t="s">
        <v>3459</v>
      </c>
      <c r="K113" s="560">
        <v>0</v>
      </c>
      <c r="L113" s="560">
        <v>0</v>
      </c>
      <c r="M113" s="560">
        <v>0</v>
      </c>
    </row>
    <row r="114" spans="9:13" x14ac:dyDescent="0.25">
      <c r="I114" s="904"/>
      <c r="J114" s="559" t="s">
        <v>3460</v>
      </c>
      <c r="K114" s="560">
        <v>0</v>
      </c>
      <c r="L114" s="560">
        <v>0</v>
      </c>
      <c r="M114" s="560">
        <v>0</v>
      </c>
    </row>
    <row r="115" spans="9:13" x14ac:dyDescent="0.25">
      <c r="I115" s="903" t="s">
        <v>159</v>
      </c>
      <c r="J115" s="559" t="s">
        <v>3459</v>
      </c>
      <c r="K115" s="560">
        <v>0.1928</v>
      </c>
      <c r="L115" s="560">
        <v>0.37040000000000001</v>
      </c>
      <c r="M115" s="560">
        <v>1.0411585282824154E-2</v>
      </c>
    </row>
    <row r="116" spans="9:13" x14ac:dyDescent="0.25">
      <c r="I116" s="904"/>
      <c r="J116" s="559" t="s">
        <v>3460</v>
      </c>
      <c r="K116" s="560">
        <v>0.20830000000000001</v>
      </c>
      <c r="L116" s="560">
        <v>0.40160000000000001</v>
      </c>
      <c r="M116" s="560">
        <v>1.15239827730369E-2</v>
      </c>
    </row>
    <row r="117" spans="9:13" x14ac:dyDescent="0.25">
      <c r="I117" s="653" t="s">
        <v>633</v>
      </c>
      <c r="J117" s="559" t="s">
        <v>3461</v>
      </c>
      <c r="K117" s="560">
        <v>0.16845101491525916</v>
      </c>
      <c r="L117" s="560">
        <v>0.29362880163110527</v>
      </c>
      <c r="M117" s="560">
        <v>1.0966140809730796E-2</v>
      </c>
    </row>
    <row r="118" spans="9:13" x14ac:dyDescent="0.25">
      <c r="I118" s="653" t="s">
        <v>635</v>
      </c>
      <c r="J118" s="559" t="s">
        <v>3461</v>
      </c>
      <c r="K118" s="560">
        <v>0.24917928462451733</v>
      </c>
      <c r="L118" s="560">
        <v>0.38303106120319264</v>
      </c>
      <c r="M118" s="560">
        <v>7.9893546069665922E-2</v>
      </c>
    </row>
    <row r="119" spans="9:13" x14ac:dyDescent="0.25">
      <c r="I119" s="653" t="s">
        <v>637</v>
      </c>
      <c r="J119" s="559" t="s">
        <v>3461</v>
      </c>
      <c r="K119" s="560">
        <v>0.16959581667650903</v>
      </c>
      <c r="L119" s="560">
        <v>0.29491907286138619</v>
      </c>
      <c r="M119" s="560">
        <v>1.1096034143043498E-2</v>
      </c>
    </row>
    <row r="120" spans="9:13" x14ac:dyDescent="0.25">
      <c r="I120" s="653" t="s">
        <v>643</v>
      </c>
      <c r="J120" s="559" t="s">
        <v>3461</v>
      </c>
      <c r="K120" s="560">
        <v>0.16944900010604824</v>
      </c>
      <c r="L120" s="560">
        <v>0.29473438857391132</v>
      </c>
      <c r="M120" s="560">
        <v>1.0990974490833194E-2</v>
      </c>
    </row>
    <row r="153" spans="9:11" x14ac:dyDescent="0.25">
      <c r="I153" s="296" t="s">
        <v>3462</v>
      </c>
      <c r="J153" s="561"/>
      <c r="K153" s="193"/>
    </row>
    <row r="154" spans="9:11" x14ac:dyDescent="0.25">
      <c r="I154" s="193" t="s">
        <v>3450</v>
      </c>
      <c r="J154" s="561"/>
      <c r="K154" s="193"/>
    </row>
    <row r="155" spans="9:11" x14ac:dyDescent="0.25">
      <c r="I155" s="557" t="s">
        <v>3455</v>
      </c>
      <c r="J155" s="557" t="s">
        <v>142</v>
      </c>
      <c r="K155" s="557" t="s">
        <v>3446</v>
      </c>
    </row>
    <row r="156" spans="9:11" x14ac:dyDescent="0.25">
      <c r="I156" s="559" t="s">
        <v>3463</v>
      </c>
      <c r="J156" s="559" t="s">
        <v>156</v>
      </c>
      <c r="K156" s="560">
        <v>0</v>
      </c>
    </row>
    <row r="157" spans="9:11" x14ac:dyDescent="0.25">
      <c r="I157" s="559" t="s">
        <v>3463</v>
      </c>
      <c r="J157" s="559" t="s">
        <v>157</v>
      </c>
      <c r="K157" s="560">
        <v>0</v>
      </c>
    </row>
    <row r="158" spans="9:11" x14ac:dyDescent="0.25">
      <c r="I158" s="559" t="s">
        <v>3463</v>
      </c>
      <c r="J158" s="559" t="s">
        <v>158</v>
      </c>
      <c r="K158" s="560">
        <v>0</v>
      </c>
    </row>
    <row r="159" spans="9:11" x14ac:dyDescent="0.25">
      <c r="I159" s="559" t="s">
        <v>3463</v>
      </c>
      <c r="J159" s="559" t="s">
        <v>159</v>
      </c>
      <c r="K159" s="560">
        <v>1.868072335466799</v>
      </c>
    </row>
    <row r="160" spans="9:11" x14ac:dyDescent="0.25">
      <c r="I160" s="559" t="s">
        <v>3463</v>
      </c>
      <c r="J160" s="559" t="s">
        <v>160</v>
      </c>
      <c r="K160" s="560">
        <v>0</v>
      </c>
    </row>
    <row r="161" spans="9:11" x14ac:dyDescent="0.25">
      <c r="I161" s="559" t="s">
        <v>3464</v>
      </c>
      <c r="J161" s="559" t="s">
        <v>156</v>
      </c>
      <c r="K161" s="560">
        <v>0</v>
      </c>
    </row>
    <row r="162" spans="9:11" x14ac:dyDescent="0.25">
      <c r="I162" s="559" t="s">
        <v>3464</v>
      </c>
      <c r="J162" s="559" t="s">
        <v>157</v>
      </c>
      <c r="K162" s="560">
        <v>0</v>
      </c>
    </row>
    <row r="163" spans="9:11" x14ac:dyDescent="0.25">
      <c r="I163" s="559" t="s">
        <v>3464</v>
      </c>
      <c r="J163" s="559" t="s">
        <v>158</v>
      </c>
      <c r="K163" s="560">
        <v>0</v>
      </c>
    </row>
    <row r="164" spans="9:11" x14ac:dyDescent="0.25">
      <c r="I164" s="559" t="s">
        <v>3464</v>
      </c>
      <c r="J164" s="559" t="s">
        <v>159</v>
      </c>
      <c r="K164" s="560">
        <v>0</v>
      </c>
    </row>
    <row r="165" spans="9:11" x14ac:dyDescent="0.25">
      <c r="I165" s="559" t="s">
        <v>3464</v>
      </c>
      <c r="J165" s="559" t="s">
        <v>160</v>
      </c>
      <c r="K165" s="560">
        <v>0</v>
      </c>
    </row>
  </sheetData>
  <mergeCells count="28">
    <mergeCell ref="I1:N1"/>
    <mergeCell ref="I2:N2"/>
    <mergeCell ref="I3:N3"/>
    <mergeCell ref="I113:I114"/>
    <mergeCell ref="I115:I116"/>
    <mergeCell ref="W38:X39"/>
    <mergeCell ref="M16:M17"/>
    <mergeCell ref="O16:O17"/>
    <mergeCell ref="M18:M19"/>
    <mergeCell ref="O18:O19"/>
    <mergeCell ref="T29:V29"/>
    <mergeCell ref="T34:X34"/>
    <mergeCell ref="AZ70:BC70"/>
    <mergeCell ref="B5:B6"/>
    <mergeCell ref="C5:C6"/>
    <mergeCell ref="D5:F5"/>
    <mergeCell ref="G5:I5"/>
    <mergeCell ref="T36:T37"/>
    <mergeCell ref="U36:U37"/>
    <mergeCell ref="W35:X35"/>
    <mergeCell ref="W36:X37"/>
    <mergeCell ref="K14:K15"/>
    <mergeCell ref="AT57:AU57"/>
    <mergeCell ref="AS58:AS59"/>
    <mergeCell ref="AU58:AU59"/>
    <mergeCell ref="AV58:AV59"/>
    <mergeCell ref="T38:T39"/>
    <mergeCell ref="U38:U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1" r:id="rId4" name="CommandButton1">
          <controlPr defaultSize="0" autoLine="0" r:id="rId5">
            <anchor moveWithCells="1">
              <from>
                <xdr:col>4</xdr:col>
                <xdr:colOff>104775</xdr:colOff>
                <xdr:row>2</xdr:row>
                <xdr:rowOff>76200</xdr:rowOff>
              </from>
              <to>
                <xdr:col>6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24581" r:id="rId4" name="CommandButton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6"/>
  <dimension ref="B1:P102"/>
  <sheetViews>
    <sheetView showGridLines="0" workbookViewId="0">
      <selection activeCell="H67" sqref="H67"/>
    </sheetView>
  </sheetViews>
  <sheetFormatPr defaultRowHeight="15" x14ac:dyDescent="0.25"/>
  <cols>
    <col min="1" max="1" width="0.85546875" customWidth="1"/>
    <col min="2" max="2" width="8.28515625" customWidth="1"/>
    <col min="3" max="3" width="14.42578125" customWidth="1"/>
    <col min="4" max="4" width="16.85546875" customWidth="1"/>
    <col min="5" max="5" width="53.5703125" bestFit="1" customWidth="1"/>
    <col min="6" max="6" width="8.28515625" customWidth="1"/>
    <col min="7" max="7" width="14.7109375" customWidth="1"/>
    <col min="8" max="8" width="16.140625" customWidth="1"/>
    <col min="9" max="9" width="10" customWidth="1"/>
    <col min="10" max="10" width="16.42578125" customWidth="1"/>
    <col min="11" max="11" width="13.28515625" customWidth="1"/>
    <col min="12" max="12" width="12.140625" customWidth="1"/>
    <col min="13" max="13" width="19.7109375" customWidth="1"/>
    <col min="14" max="14" width="4.85546875" customWidth="1"/>
  </cols>
  <sheetData>
    <row r="1" spans="2:16" x14ac:dyDescent="0.25">
      <c r="B1" s="10" t="s">
        <v>43</v>
      </c>
      <c r="D1" s="48" t="s">
        <v>180</v>
      </c>
      <c r="E1" s="48" t="s">
        <v>181</v>
      </c>
      <c r="F1" s="48" t="s">
        <v>183</v>
      </c>
      <c r="G1" s="48" t="s">
        <v>185</v>
      </c>
      <c r="H1" s="48" t="s">
        <v>182</v>
      </c>
      <c r="I1" s="48" t="s">
        <v>184</v>
      </c>
      <c r="J1" s="49" t="s">
        <v>186</v>
      </c>
      <c r="K1" s="49" t="s">
        <v>187</v>
      </c>
      <c r="L1" s="48" t="s">
        <v>785</v>
      </c>
      <c r="M1" s="48" t="s">
        <v>3494</v>
      </c>
      <c r="N1" s="48"/>
    </row>
    <row r="2" spans="2:16" hidden="1" x14ac:dyDescent="0.25">
      <c r="B2" s="11">
        <v>0</v>
      </c>
      <c r="D2" s="647" t="s">
        <v>3497</v>
      </c>
      <c r="E2" s="647" t="s">
        <v>3498</v>
      </c>
      <c r="F2" s="648" t="s">
        <v>3499</v>
      </c>
      <c r="G2" s="649"/>
      <c r="H2" s="648" t="s">
        <v>3500</v>
      </c>
      <c r="I2" s="647"/>
      <c r="J2" s="650">
        <v>0</v>
      </c>
      <c r="K2" s="650">
        <v>0</v>
      </c>
      <c r="L2" s="651">
        <v>0</v>
      </c>
      <c r="M2" s="652" t="s">
        <v>3501</v>
      </c>
      <c r="N2" s="298"/>
    </row>
    <row r="3" spans="2:16" hidden="1" x14ac:dyDescent="0.25">
      <c r="B3" s="11">
        <v>1.0416666666666666E-2</v>
      </c>
      <c r="D3" s="50" t="s">
        <v>188</v>
      </c>
      <c r="E3" s="50" t="s">
        <v>3134</v>
      </c>
      <c r="F3" s="51" t="s">
        <v>190</v>
      </c>
      <c r="G3" s="52">
        <v>396</v>
      </c>
      <c r="H3" s="51">
        <v>45035</v>
      </c>
      <c r="I3" s="50" t="s">
        <v>191</v>
      </c>
      <c r="J3" s="53">
        <v>0.75</v>
      </c>
      <c r="K3" s="53">
        <v>0.79166666666666663</v>
      </c>
      <c r="L3" s="298">
        <v>5</v>
      </c>
      <c r="M3" s="642" t="s">
        <v>3503</v>
      </c>
      <c r="N3" s="298"/>
    </row>
    <row r="4" spans="2:16" hidden="1" x14ac:dyDescent="0.25">
      <c r="B4" s="11">
        <v>2.0833333333333332E-2</v>
      </c>
      <c r="D4" s="50" t="s">
        <v>192</v>
      </c>
      <c r="E4" s="315" t="s">
        <v>3135</v>
      </c>
      <c r="F4" s="51" t="s">
        <v>194</v>
      </c>
      <c r="G4" s="52">
        <v>7019</v>
      </c>
      <c r="H4" s="51">
        <v>43067</v>
      </c>
      <c r="I4" s="50" t="s">
        <v>191</v>
      </c>
      <c r="J4" s="53">
        <v>0.83333333333333337</v>
      </c>
      <c r="K4" s="53"/>
      <c r="L4" s="298">
        <v>5</v>
      </c>
      <c r="M4" s="642" t="s">
        <v>3511</v>
      </c>
      <c r="N4" s="298"/>
    </row>
    <row r="5" spans="2:16" hidden="1" x14ac:dyDescent="0.25">
      <c r="B5" s="11">
        <v>3.125E-2</v>
      </c>
      <c r="D5" s="50" t="s">
        <v>195</v>
      </c>
      <c r="E5" s="315" t="s">
        <v>3136</v>
      </c>
      <c r="F5" s="51" t="s">
        <v>197</v>
      </c>
      <c r="G5" s="52">
        <v>383</v>
      </c>
      <c r="H5" s="51">
        <v>43539</v>
      </c>
      <c r="I5" s="50" t="s">
        <v>191</v>
      </c>
      <c r="J5" s="53">
        <v>0.75</v>
      </c>
      <c r="K5" s="53">
        <v>0.79166666666666663</v>
      </c>
      <c r="L5" s="298">
        <v>5</v>
      </c>
      <c r="M5" s="642" t="s">
        <v>3512</v>
      </c>
      <c r="N5" s="298"/>
    </row>
    <row r="6" spans="2:16" hidden="1" x14ac:dyDescent="0.25">
      <c r="B6" s="11">
        <v>4.1666666666666664E-2</v>
      </c>
      <c r="D6" s="50" t="s">
        <v>198</v>
      </c>
      <c r="E6" s="315" t="s">
        <v>3137</v>
      </c>
      <c r="F6" s="51" t="s">
        <v>200</v>
      </c>
      <c r="G6" s="52">
        <v>391</v>
      </c>
      <c r="H6" s="51">
        <v>43761</v>
      </c>
      <c r="I6" s="50" t="s">
        <v>191</v>
      </c>
      <c r="J6" s="53">
        <v>0.72916666666666663</v>
      </c>
      <c r="K6" s="53">
        <v>0.77083333333333337</v>
      </c>
      <c r="L6" s="298">
        <v>4</v>
      </c>
      <c r="M6" s="642" t="s">
        <v>3504</v>
      </c>
      <c r="N6" s="298"/>
    </row>
    <row r="7" spans="2:16" hidden="1" x14ac:dyDescent="0.25">
      <c r="B7" s="11">
        <v>5.2083333333333336E-2</v>
      </c>
      <c r="D7" s="50" t="s">
        <v>201</v>
      </c>
      <c r="E7" s="315" t="s">
        <v>3138</v>
      </c>
      <c r="F7" s="51" t="s">
        <v>203</v>
      </c>
      <c r="G7" s="52">
        <v>370</v>
      </c>
      <c r="H7" s="51">
        <v>43067</v>
      </c>
      <c r="I7" s="50" t="s">
        <v>191</v>
      </c>
      <c r="J7" s="53">
        <v>0.83333333333333337</v>
      </c>
      <c r="K7" s="53"/>
      <c r="L7" s="298">
        <v>5</v>
      </c>
      <c r="M7" s="642" t="s">
        <v>3513</v>
      </c>
      <c r="N7" s="298"/>
    </row>
    <row r="8" spans="2:16" hidden="1" x14ac:dyDescent="0.25">
      <c r="B8" s="11">
        <v>6.25E-2</v>
      </c>
      <c r="D8" s="50" t="s">
        <v>204</v>
      </c>
      <c r="E8" s="315" t="s">
        <v>3139</v>
      </c>
      <c r="F8" s="51" t="s">
        <v>200</v>
      </c>
      <c r="G8" s="52">
        <v>5216</v>
      </c>
      <c r="H8" s="51">
        <v>42500</v>
      </c>
      <c r="I8" s="50" t="s">
        <v>191</v>
      </c>
      <c r="J8" s="53">
        <v>0.75</v>
      </c>
      <c r="K8" s="53">
        <v>0.75</v>
      </c>
      <c r="L8" s="298">
        <v>5</v>
      </c>
      <c r="M8" s="642" t="s">
        <v>3514</v>
      </c>
      <c r="N8" s="298"/>
    </row>
    <row r="9" spans="2:16" hidden="1" x14ac:dyDescent="0.25">
      <c r="B9" s="11">
        <v>7.2916666666666671E-2</v>
      </c>
      <c r="D9" s="50" t="s">
        <v>206</v>
      </c>
      <c r="E9" s="315" t="s">
        <v>3140</v>
      </c>
      <c r="F9" s="51" t="s">
        <v>208</v>
      </c>
      <c r="G9" s="52">
        <v>31</v>
      </c>
      <c r="H9" s="51">
        <v>41628</v>
      </c>
      <c r="I9" s="50" t="s">
        <v>191</v>
      </c>
      <c r="J9" s="53"/>
      <c r="K9" s="53"/>
      <c r="L9" s="298">
        <v>5</v>
      </c>
      <c r="M9" s="642"/>
      <c r="N9" s="298"/>
    </row>
    <row r="10" spans="2:16" hidden="1" x14ac:dyDescent="0.25">
      <c r="B10" s="11">
        <v>8.3333333333333329E-2</v>
      </c>
      <c r="D10" s="50" t="s">
        <v>209</v>
      </c>
      <c r="E10" s="315" t="s">
        <v>3141</v>
      </c>
      <c r="F10" s="51" t="s">
        <v>211</v>
      </c>
      <c r="G10" s="52">
        <v>44</v>
      </c>
      <c r="H10" s="51">
        <v>43036</v>
      </c>
      <c r="I10" s="50" t="s">
        <v>191</v>
      </c>
      <c r="J10" s="53">
        <v>0.72916666666666663</v>
      </c>
      <c r="K10" s="53">
        <v>0.77083333333333337</v>
      </c>
      <c r="L10" s="298">
        <v>5</v>
      </c>
      <c r="M10" s="642" t="s">
        <v>3515</v>
      </c>
      <c r="N10" s="298"/>
      <c r="O10" s="54"/>
      <c r="P10" t="s">
        <v>46</v>
      </c>
    </row>
    <row r="11" spans="2:16" hidden="1" x14ac:dyDescent="0.25">
      <c r="B11" s="11">
        <v>9.375E-2</v>
      </c>
      <c r="D11" s="50" t="s">
        <v>3130</v>
      </c>
      <c r="E11" s="315" t="s">
        <v>3142</v>
      </c>
      <c r="F11" s="51" t="s">
        <v>213</v>
      </c>
      <c r="G11" s="52">
        <v>5160</v>
      </c>
      <c r="H11" s="51">
        <v>42665</v>
      </c>
      <c r="I11" s="50" t="s">
        <v>191</v>
      </c>
      <c r="J11" s="53">
        <v>0.75</v>
      </c>
      <c r="K11" s="53">
        <v>0.79166666666666663</v>
      </c>
      <c r="L11" s="298">
        <v>5</v>
      </c>
      <c r="M11" s="642" t="s">
        <v>3518</v>
      </c>
      <c r="N11" s="298"/>
    </row>
    <row r="12" spans="2:16" hidden="1" x14ac:dyDescent="0.25">
      <c r="B12" s="11">
        <v>0.10416666666666667</v>
      </c>
      <c r="D12" s="50" t="s">
        <v>3131</v>
      </c>
      <c r="E12" s="315" t="s">
        <v>3143</v>
      </c>
      <c r="F12" s="51" t="s">
        <v>190</v>
      </c>
      <c r="G12" s="52">
        <v>5707</v>
      </c>
      <c r="H12" s="51">
        <v>42696</v>
      </c>
      <c r="I12" s="50" t="s">
        <v>191</v>
      </c>
      <c r="J12" s="53">
        <v>0.75</v>
      </c>
      <c r="K12" s="53">
        <v>0.79166666666666663</v>
      </c>
      <c r="L12" s="298">
        <v>5</v>
      </c>
      <c r="M12" s="642" t="s">
        <v>3519</v>
      </c>
      <c r="N12" s="298"/>
    </row>
    <row r="13" spans="2:16" hidden="1" x14ac:dyDescent="0.25">
      <c r="B13" s="11">
        <v>0.11458333333333333</v>
      </c>
      <c r="D13" s="50" t="s">
        <v>3132</v>
      </c>
      <c r="E13" s="315" t="s">
        <v>3144</v>
      </c>
      <c r="F13" s="51" t="s">
        <v>216</v>
      </c>
      <c r="G13" s="52">
        <v>5697</v>
      </c>
      <c r="H13" s="51">
        <v>42604</v>
      </c>
      <c r="I13" s="50" t="s">
        <v>191</v>
      </c>
      <c r="J13" s="53">
        <v>0.77083333333333337</v>
      </c>
      <c r="K13" s="53">
        <v>0.8125</v>
      </c>
      <c r="L13" s="298">
        <v>5</v>
      </c>
      <c r="M13" s="642" t="s">
        <v>3520</v>
      </c>
      <c r="N13" s="298"/>
    </row>
    <row r="14" spans="2:16" hidden="1" x14ac:dyDescent="0.25">
      <c r="B14" s="11">
        <v>0.125</v>
      </c>
      <c r="D14" s="50" t="s">
        <v>3133</v>
      </c>
      <c r="E14" s="315" t="s">
        <v>3145</v>
      </c>
      <c r="F14" s="51" t="s">
        <v>218</v>
      </c>
      <c r="G14" s="52">
        <v>6072</v>
      </c>
      <c r="H14" s="51">
        <v>43030</v>
      </c>
      <c r="I14" s="50" t="s">
        <v>191</v>
      </c>
      <c r="J14" s="53">
        <v>0.75</v>
      </c>
      <c r="K14" s="53">
        <v>0.79166666666666663</v>
      </c>
      <c r="L14" s="298">
        <v>5</v>
      </c>
      <c r="M14" s="642" t="s">
        <v>3521</v>
      </c>
      <c r="N14" s="298"/>
    </row>
    <row r="15" spans="2:16" hidden="1" x14ac:dyDescent="0.25">
      <c r="B15" s="11">
        <v>0.13541666666666666</v>
      </c>
      <c r="D15" s="50" t="s">
        <v>219</v>
      </c>
      <c r="E15" s="315" t="s">
        <v>3146</v>
      </c>
      <c r="F15" s="51" t="s">
        <v>221</v>
      </c>
      <c r="G15" s="52">
        <v>371</v>
      </c>
      <c r="H15" s="51">
        <v>43684</v>
      </c>
      <c r="I15" s="50" t="s">
        <v>191</v>
      </c>
      <c r="J15" s="53">
        <v>0.77083333333333337</v>
      </c>
      <c r="K15" s="53"/>
      <c r="L15" s="298">
        <v>4</v>
      </c>
      <c r="M15" s="642" t="s">
        <v>3505</v>
      </c>
      <c r="N15" s="298"/>
    </row>
    <row r="16" spans="2:16" hidden="1" x14ac:dyDescent="0.25">
      <c r="B16" s="11">
        <v>0.14583333333333334</v>
      </c>
      <c r="D16" s="50" t="s">
        <v>222</v>
      </c>
      <c r="E16" s="315" t="s">
        <v>3147</v>
      </c>
      <c r="F16" s="51" t="s">
        <v>224</v>
      </c>
      <c r="G16" s="52">
        <v>43</v>
      </c>
      <c r="H16" s="51">
        <v>42854</v>
      </c>
      <c r="I16" s="50" t="s">
        <v>191</v>
      </c>
      <c r="J16" s="53">
        <v>0.72916666666666663</v>
      </c>
      <c r="K16" s="53"/>
      <c r="L16" s="298">
        <v>4</v>
      </c>
      <c r="M16" s="642" t="s">
        <v>3522</v>
      </c>
      <c r="N16" s="298"/>
    </row>
    <row r="17" spans="2:14" hidden="1" x14ac:dyDescent="0.25">
      <c r="B17" s="11">
        <v>0.15625</v>
      </c>
      <c r="D17" s="50" t="s">
        <v>838</v>
      </c>
      <c r="E17" s="315" t="s">
        <v>3148</v>
      </c>
      <c r="F17" s="51" t="s">
        <v>226</v>
      </c>
      <c r="G17" s="52">
        <v>32</v>
      </c>
      <c r="H17" s="51">
        <v>42555</v>
      </c>
      <c r="I17" s="50" t="s">
        <v>191</v>
      </c>
      <c r="J17" s="53">
        <v>0.75</v>
      </c>
      <c r="K17" s="53">
        <v>0.79166666666666663</v>
      </c>
      <c r="L17" s="298">
        <v>4</v>
      </c>
      <c r="M17" s="642" t="s">
        <v>3523</v>
      </c>
      <c r="N17" s="298"/>
    </row>
    <row r="18" spans="2:14" hidden="1" x14ac:dyDescent="0.25">
      <c r="B18" s="11">
        <v>0.16666666666666666</v>
      </c>
      <c r="D18" s="50" t="s">
        <v>227</v>
      </c>
      <c r="E18" s="315" t="s">
        <v>3149</v>
      </c>
      <c r="F18" s="51" t="s">
        <v>229</v>
      </c>
      <c r="G18" s="52">
        <v>37</v>
      </c>
      <c r="H18" s="51">
        <v>42975</v>
      </c>
      <c r="I18" s="50" t="s">
        <v>191</v>
      </c>
      <c r="J18" s="53">
        <v>0.75</v>
      </c>
      <c r="K18" s="53"/>
      <c r="L18" s="298">
        <v>4</v>
      </c>
      <c r="M18" s="642" t="s">
        <v>3524</v>
      </c>
      <c r="N18" s="298"/>
    </row>
    <row r="19" spans="2:14" hidden="1" x14ac:dyDescent="0.25">
      <c r="B19" s="11">
        <v>0.17708333333333334</v>
      </c>
      <c r="D19" s="50" t="s">
        <v>3151</v>
      </c>
      <c r="E19" s="315" t="s">
        <v>3150</v>
      </c>
      <c r="F19" s="51" t="s">
        <v>6</v>
      </c>
      <c r="G19" s="52">
        <v>405</v>
      </c>
      <c r="H19" s="51">
        <v>43198</v>
      </c>
      <c r="I19" s="50" t="s">
        <v>191</v>
      </c>
      <c r="J19" s="53">
        <v>0.72916666666666663</v>
      </c>
      <c r="K19" s="53">
        <v>0.77083333333333337</v>
      </c>
      <c r="L19" s="298">
        <v>5</v>
      </c>
      <c r="M19" s="642" t="s">
        <v>3525</v>
      </c>
      <c r="N19" s="298"/>
    </row>
    <row r="20" spans="2:14" hidden="1" x14ac:dyDescent="0.25">
      <c r="B20" s="11">
        <v>0.1875</v>
      </c>
      <c r="D20" s="50" t="s">
        <v>231</v>
      </c>
      <c r="E20" s="315" t="s">
        <v>3152</v>
      </c>
      <c r="F20" s="51" t="s">
        <v>233</v>
      </c>
      <c r="G20" s="52">
        <v>4950</v>
      </c>
      <c r="H20" s="51">
        <v>43248</v>
      </c>
      <c r="I20" s="50" t="s">
        <v>191</v>
      </c>
      <c r="J20" s="53">
        <v>0.70833333333333337</v>
      </c>
      <c r="K20" s="53">
        <v>0.75</v>
      </c>
      <c r="L20" s="298">
        <v>5</v>
      </c>
      <c r="M20" s="642" t="s">
        <v>3506</v>
      </c>
      <c r="N20" s="298"/>
    </row>
    <row r="21" spans="2:14" hidden="1" x14ac:dyDescent="0.25">
      <c r="B21" s="11">
        <v>0.19791666666666666</v>
      </c>
      <c r="D21" s="50" t="s">
        <v>234</v>
      </c>
      <c r="E21" s="315" t="s">
        <v>3153</v>
      </c>
      <c r="F21" s="51" t="s">
        <v>236</v>
      </c>
      <c r="G21" s="52">
        <v>38</v>
      </c>
      <c r="H21" s="51">
        <v>43801</v>
      </c>
      <c r="I21" s="50" t="s">
        <v>191</v>
      </c>
      <c r="J21" s="53">
        <v>0.72916666666666663</v>
      </c>
      <c r="K21" s="53"/>
      <c r="L21" s="298">
        <v>5</v>
      </c>
      <c r="M21" s="642" t="s">
        <v>3526</v>
      </c>
      <c r="N21" s="298"/>
    </row>
    <row r="22" spans="2:14" x14ac:dyDescent="0.25">
      <c r="B22" s="11">
        <v>0.20833333333333334</v>
      </c>
      <c r="D22" s="50" t="s">
        <v>237</v>
      </c>
      <c r="E22" s="315" t="s">
        <v>3154</v>
      </c>
      <c r="F22" s="51" t="s">
        <v>239</v>
      </c>
      <c r="G22" s="52">
        <v>369</v>
      </c>
      <c r="H22" s="51">
        <v>43812</v>
      </c>
      <c r="I22" s="50" t="s">
        <v>191</v>
      </c>
      <c r="J22" s="53">
        <v>0.75</v>
      </c>
      <c r="K22" s="53"/>
      <c r="L22" s="298">
        <v>5</v>
      </c>
      <c r="M22" s="642" t="s">
        <v>3517</v>
      </c>
      <c r="N22" s="298"/>
    </row>
    <row r="23" spans="2:14" hidden="1" x14ac:dyDescent="0.25">
      <c r="B23" s="11">
        <v>0.21875</v>
      </c>
      <c r="D23" s="50" t="s">
        <v>240</v>
      </c>
      <c r="E23" s="316" t="s">
        <v>3155</v>
      </c>
      <c r="F23" s="51" t="s">
        <v>203</v>
      </c>
      <c r="G23" s="52">
        <v>28</v>
      </c>
      <c r="H23" s="51">
        <v>41579</v>
      </c>
      <c r="I23" s="50" t="s">
        <v>191</v>
      </c>
      <c r="J23" s="53"/>
      <c r="K23" s="53"/>
      <c r="L23" s="298"/>
      <c r="M23" s="642"/>
      <c r="N23" s="298"/>
    </row>
    <row r="24" spans="2:14" hidden="1" x14ac:dyDescent="0.25">
      <c r="B24" s="11">
        <v>0.22916666666666666</v>
      </c>
      <c r="D24" s="50" t="s">
        <v>242</v>
      </c>
      <c r="E24" s="315" t="s">
        <v>3156</v>
      </c>
      <c r="F24" s="51" t="s">
        <v>244</v>
      </c>
      <c r="G24" s="52">
        <v>84</v>
      </c>
      <c r="H24" s="51">
        <v>42550</v>
      </c>
      <c r="I24" s="50" t="s">
        <v>245</v>
      </c>
      <c r="J24" s="53">
        <v>0.75</v>
      </c>
      <c r="K24" s="53">
        <v>0.75</v>
      </c>
      <c r="L24" s="298">
        <v>5</v>
      </c>
      <c r="M24" s="642" t="s">
        <v>3527</v>
      </c>
      <c r="N24" s="298"/>
    </row>
    <row r="25" spans="2:14" hidden="1" x14ac:dyDescent="0.25">
      <c r="B25" s="11">
        <v>0.23958333333333334</v>
      </c>
      <c r="D25" s="50" t="s">
        <v>246</v>
      </c>
      <c r="E25" s="315" t="s">
        <v>3157</v>
      </c>
      <c r="F25" s="51" t="s">
        <v>218</v>
      </c>
      <c r="G25" s="52">
        <v>103</v>
      </c>
      <c r="H25" s="51">
        <v>42696</v>
      </c>
      <c r="I25" s="50" t="s">
        <v>245</v>
      </c>
      <c r="J25" s="53">
        <v>0.75</v>
      </c>
      <c r="K25" s="53">
        <v>0.79166666666666663</v>
      </c>
      <c r="L25" s="298">
        <v>5</v>
      </c>
      <c r="M25" s="642" t="s">
        <v>3528</v>
      </c>
      <c r="N25" s="298"/>
    </row>
    <row r="26" spans="2:14" hidden="1" x14ac:dyDescent="0.25">
      <c r="B26" s="11">
        <v>0.25</v>
      </c>
      <c r="D26" s="50" t="s">
        <v>3166</v>
      </c>
      <c r="E26" s="315" t="s">
        <v>3158</v>
      </c>
      <c r="F26" s="51" t="s">
        <v>200</v>
      </c>
      <c r="G26" s="52">
        <v>69</v>
      </c>
      <c r="H26" s="51">
        <v>42451</v>
      </c>
      <c r="I26" s="50" t="s">
        <v>191</v>
      </c>
      <c r="J26" s="53">
        <v>0.75</v>
      </c>
      <c r="K26" s="53">
        <v>0.79166666666666663</v>
      </c>
      <c r="L26" s="298">
        <v>5</v>
      </c>
      <c r="M26" s="642" t="s">
        <v>3529</v>
      </c>
      <c r="N26" s="298"/>
    </row>
    <row r="27" spans="2:14" hidden="1" x14ac:dyDescent="0.25">
      <c r="B27" s="11">
        <v>0.26041666666666669</v>
      </c>
      <c r="D27" s="50" t="s">
        <v>3167</v>
      </c>
      <c r="E27" s="315" t="s">
        <v>3159</v>
      </c>
      <c r="F27" s="51" t="s">
        <v>200</v>
      </c>
      <c r="G27" s="52">
        <v>70</v>
      </c>
      <c r="H27" s="51">
        <v>42451</v>
      </c>
      <c r="I27" s="50" t="s">
        <v>191</v>
      </c>
      <c r="J27" s="53">
        <v>0.75</v>
      </c>
      <c r="K27" s="53">
        <v>0.79166666666666663</v>
      </c>
      <c r="L27" s="298">
        <v>5</v>
      </c>
      <c r="M27" s="642" t="s">
        <v>3530</v>
      </c>
      <c r="N27" s="298"/>
    </row>
    <row r="28" spans="2:14" hidden="1" x14ac:dyDescent="0.25">
      <c r="B28" s="11">
        <v>0.27083333333333331</v>
      </c>
      <c r="D28" s="50" t="s">
        <v>3168</v>
      </c>
      <c r="E28" s="315" t="s">
        <v>3160</v>
      </c>
      <c r="F28" s="51" t="s">
        <v>200</v>
      </c>
      <c r="G28" s="52">
        <v>72</v>
      </c>
      <c r="H28" s="51">
        <v>42451</v>
      </c>
      <c r="I28" s="50" t="s">
        <v>191</v>
      </c>
      <c r="J28" s="53">
        <v>0.75</v>
      </c>
      <c r="K28" s="53">
        <v>0.79166666666666663</v>
      </c>
      <c r="L28" s="298">
        <v>5</v>
      </c>
      <c r="M28" s="642" t="s">
        <v>3531</v>
      </c>
      <c r="N28" s="298"/>
    </row>
    <row r="29" spans="2:14" hidden="1" x14ac:dyDescent="0.25">
      <c r="B29" s="11">
        <v>0.28125</v>
      </c>
      <c r="D29" s="50" t="s">
        <v>251</v>
      </c>
      <c r="E29" s="315" t="s">
        <v>3161</v>
      </c>
      <c r="F29" s="51" t="s">
        <v>200</v>
      </c>
      <c r="G29" s="52">
        <v>75</v>
      </c>
      <c r="H29" s="51">
        <v>42500</v>
      </c>
      <c r="I29" s="50" t="s">
        <v>191</v>
      </c>
      <c r="J29" s="53">
        <v>0.75</v>
      </c>
      <c r="K29" s="53">
        <v>0.75</v>
      </c>
      <c r="L29" s="298">
        <v>5</v>
      </c>
      <c r="M29" s="642" t="s">
        <v>3532</v>
      </c>
      <c r="N29" s="298"/>
    </row>
    <row r="30" spans="2:14" hidden="1" x14ac:dyDescent="0.25">
      <c r="B30" s="11">
        <v>0.29166666666666669</v>
      </c>
      <c r="D30" s="50" t="s">
        <v>253</v>
      </c>
      <c r="E30" s="315" t="s">
        <v>3162</v>
      </c>
      <c r="F30" s="51" t="s">
        <v>244</v>
      </c>
      <c r="G30" s="52">
        <v>82</v>
      </c>
      <c r="H30" s="51">
        <v>42550</v>
      </c>
      <c r="I30" s="50" t="s">
        <v>245</v>
      </c>
      <c r="J30" s="53">
        <v>0.75</v>
      </c>
      <c r="K30" s="53">
        <v>0.75</v>
      </c>
      <c r="L30" s="298">
        <v>5</v>
      </c>
      <c r="M30" s="642" t="s">
        <v>3533</v>
      </c>
      <c r="N30" s="298"/>
    </row>
    <row r="31" spans="2:14" hidden="1" x14ac:dyDescent="0.25">
      <c r="B31" s="11">
        <v>0.30208333333333331</v>
      </c>
      <c r="D31" s="50" t="s">
        <v>255</v>
      </c>
      <c r="E31" s="315" t="s">
        <v>3163</v>
      </c>
      <c r="F31" s="51" t="s">
        <v>257</v>
      </c>
      <c r="G31" s="52">
        <v>47</v>
      </c>
      <c r="H31" s="51">
        <v>43212</v>
      </c>
      <c r="I31" s="50" t="s">
        <v>191</v>
      </c>
      <c r="J31" s="53">
        <v>0.75</v>
      </c>
      <c r="K31" s="53"/>
      <c r="L31" s="298">
        <v>5</v>
      </c>
      <c r="M31" s="642" t="s">
        <v>3534</v>
      </c>
      <c r="N31" s="298"/>
    </row>
    <row r="32" spans="2:14" hidden="1" x14ac:dyDescent="0.25">
      <c r="B32" s="11">
        <v>0.3125</v>
      </c>
      <c r="D32" s="50" t="s">
        <v>258</v>
      </c>
      <c r="E32" s="315" t="s">
        <v>3164</v>
      </c>
      <c r="F32" s="51" t="s">
        <v>260</v>
      </c>
      <c r="G32" s="52">
        <v>39</v>
      </c>
      <c r="H32" s="51">
        <v>43577</v>
      </c>
      <c r="I32" s="50" t="s">
        <v>191</v>
      </c>
      <c r="J32" s="53">
        <v>0.72916666666666663</v>
      </c>
      <c r="K32" s="53">
        <v>0.77083333333333337</v>
      </c>
      <c r="L32" s="298">
        <v>4</v>
      </c>
      <c r="M32" s="642" t="s">
        <v>3535</v>
      </c>
      <c r="N32" s="298"/>
    </row>
    <row r="33" spans="2:14" hidden="1" x14ac:dyDescent="0.25">
      <c r="B33" s="11">
        <v>0.32291666666666669</v>
      </c>
      <c r="D33" s="50" t="s">
        <v>261</v>
      </c>
      <c r="E33" s="315" t="s">
        <v>3165</v>
      </c>
      <c r="F33" s="51" t="s">
        <v>216</v>
      </c>
      <c r="G33" s="52">
        <v>2904</v>
      </c>
      <c r="H33" s="51">
        <v>42976</v>
      </c>
      <c r="I33" s="50" t="s">
        <v>245</v>
      </c>
      <c r="J33" s="53">
        <v>0.77083333333333337</v>
      </c>
      <c r="K33" s="53">
        <v>0.8125</v>
      </c>
      <c r="L33" s="298">
        <v>5</v>
      </c>
      <c r="M33" s="642" t="s">
        <v>3507</v>
      </c>
      <c r="N33" s="298"/>
    </row>
    <row r="34" spans="2:14" hidden="1" x14ac:dyDescent="0.25">
      <c r="B34" s="11">
        <v>0.33333333333333331</v>
      </c>
      <c r="D34" s="50" t="s">
        <v>3169</v>
      </c>
      <c r="E34" s="315" t="s">
        <v>3170</v>
      </c>
      <c r="F34" s="51" t="s">
        <v>244</v>
      </c>
      <c r="G34" s="52">
        <v>2866</v>
      </c>
      <c r="H34" s="51">
        <v>42545</v>
      </c>
      <c r="I34" s="50" t="s">
        <v>191</v>
      </c>
      <c r="J34" s="53">
        <v>0.75</v>
      </c>
      <c r="K34" s="53">
        <v>0.79166666666666663</v>
      </c>
      <c r="L34" s="298">
        <v>5</v>
      </c>
      <c r="M34" s="642" t="s">
        <v>3536</v>
      </c>
      <c r="N34" s="298"/>
    </row>
    <row r="35" spans="2:14" hidden="1" x14ac:dyDescent="0.25">
      <c r="B35" s="11">
        <v>0.34375</v>
      </c>
      <c r="D35" s="50" t="s">
        <v>264</v>
      </c>
      <c r="E35" s="315" t="s">
        <v>3171</v>
      </c>
      <c r="F35" s="51" t="s">
        <v>266</v>
      </c>
      <c r="G35" s="52">
        <v>40</v>
      </c>
      <c r="H35" s="51">
        <v>43212</v>
      </c>
      <c r="I35" s="50" t="s">
        <v>191</v>
      </c>
      <c r="J35" s="53">
        <v>0.72916666666666663</v>
      </c>
      <c r="K35" s="53"/>
      <c r="L35" s="298">
        <v>5</v>
      </c>
      <c r="M35" s="642" t="s">
        <v>3537</v>
      </c>
      <c r="N35" s="298"/>
    </row>
    <row r="36" spans="2:14" hidden="1" x14ac:dyDescent="0.25">
      <c r="B36" s="11">
        <v>0.35416666666666669</v>
      </c>
      <c r="D36" s="50" t="s">
        <v>3173</v>
      </c>
      <c r="E36" s="315" t="s">
        <v>3172</v>
      </c>
      <c r="F36" s="51" t="s">
        <v>200</v>
      </c>
      <c r="G36" s="52">
        <v>71</v>
      </c>
      <c r="H36" s="51">
        <v>42451</v>
      </c>
      <c r="I36" s="50" t="s">
        <v>191</v>
      </c>
      <c r="J36" s="53">
        <v>0.75</v>
      </c>
      <c r="K36" s="53">
        <v>0.79166666666666663</v>
      </c>
      <c r="L36" s="298">
        <v>5</v>
      </c>
      <c r="M36" s="642" t="s">
        <v>3538</v>
      </c>
      <c r="N36" s="298"/>
    </row>
    <row r="37" spans="2:14" hidden="1" x14ac:dyDescent="0.25">
      <c r="B37" s="11">
        <v>0.36458333333333331</v>
      </c>
      <c r="D37" s="50" t="s">
        <v>268</v>
      </c>
      <c r="E37" s="50" t="s">
        <v>3540</v>
      </c>
      <c r="F37" s="51" t="s">
        <v>200</v>
      </c>
      <c r="G37" s="52">
        <v>63</v>
      </c>
      <c r="H37" s="51">
        <v>43198</v>
      </c>
      <c r="I37" s="50" t="s">
        <v>191</v>
      </c>
      <c r="J37" s="53">
        <v>0.75</v>
      </c>
      <c r="K37" s="53">
        <v>0.79166666666666663</v>
      </c>
      <c r="L37" s="298">
        <v>5</v>
      </c>
      <c r="M37" s="642" t="s">
        <v>3539</v>
      </c>
      <c r="N37" s="298"/>
    </row>
    <row r="38" spans="2:14" hidden="1" x14ac:dyDescent="0.25">
      <c r="B38" s="11">
        <v>0.375</v>
      </c>
      <c r="D38" s="50" t="s">
        <v>270</v>
      </c>
      <c r="E38" s="315" t="s">
        <v>3174</v>
      </c>
      <c r="F38" s="51" t="s">
        <v>200</v>
      </c>
      <c r="G38" s="52">
        <v>2937</v>
      </c>
      <c r="H38" s="51">
        <v>43396</v>
      </c>
      <c r="I38" s="50" t="s">
        <v>191</v>
      </c>
      <c r="J38" s="53">
        <v>0.75</v>
      </c>
      <c r="K38" s="53">
        <v>0.79166666666666663</v>
      </c>
      <c r="L38" s="298">
        <v>4</v>
      </c>
      <c r="M38" s="642" t="s">
        <v>3496</v>
      </c>
      <c r="N38" s="298"/>
    </row>
    <row r="39" spans="2:14" hidden="1" x14ac:dyDescent="0.25">
      <c r="B39" s="11">
        <v>0.38541666666666669</v>
      </c>
      <c r="D39" s="50" t="s">
        <v>3176</v>
      </c>
      <c r="E39" s="315" t="s">
        <v>3175</v>
      </c>
      <c r="F39" s="51" t="s">
        <v>200</v>
      </c>
      <c r="G39" s="52">
        <v>73</v>
      </c>
      <c r="H39" s="51">
        <v>42451</v>
      </c>
      <c r="I39" s="50" t="s">
        <v>191</v>
      </c>
      <c r="J39" s="53">
        <v>0.75</v>
      </c>
      <c r="K39" s="53">
        <v>0.79166666666666663</v>
      </c>
      <c r="L39" s="298">
        <v>5</v>
      </c>
      <c r="M39" s="642" t="s">
        <v>3541</v>
      </c>
      <c r="N39" s="298"/>
    </row>
    <row r="40" spans="2:14" hidden="1" x14ac:dyDescent="0.25">
      <c r="B40" s="11">
        <v>0.39583333333333331</v>
      </c>
      <c r="D40" s="50" t="s">
        <v>273</v>
      </c>
      <c r="E40" s="315" t="s">
        <v>3177</v>
      </c>
      <c r="F40" s="51" t="s">
        <v>190</v>
      </c>
      <c r="G40" s="52">
        <v>95</v>
      </c>
      <c r="H40" s="51">
        <v>42938</v>
      </c>
      <c r="I40" s="50" t="s">
        <v>245</v>
      </c>
      <c r="J40" s="53">
        <v>0.75</v>
      </c>
      <c r="K40" s="53">
        <v>0.79166666666666663</v>
      </c>
      <c r="L40" s="298">
        <v>5</v>
      </c>
      <c r="M40" s="642" t="s">
        <v>3542</v>
      </c>
      <c r="N40" s="298"/>
    </row>
    <row r="41" spans="2:14" hidden="1" x14ac:dyDescent="0.25">
      <c r="B41" s="11">
        <v>0.40625</v>
      </c>
      <c r="D41" s="50" t="s">
        <v>274</v>
      </c>
      <c r="E41" s="315" t="s">
        <v>3178</v>
      </c>
      <c r="F41" s="51" t="s">
        <v>233</v>
      </c>
      <c r="G41" s="52">
        <v>51</v>
      </c>
      <c r="H41" s="51">
        <v>44157</v>
      </c>
      <c r="I41" s="50" t="s">
        <v>245</v>
      </c>
      <c r="J41" s="53">
        <v>0.75</v>
      </c>
      <c r="K41" s="53">
        <v>0.79166666666666663</v>
      </c>
      <c r="L41" s="298">
        <v>5</v>
      </c>
      <c r="M41" s="642" t="s">
        <v>3544</v>
      </c>
      <c r="N41" s="298"/>
    </row>
    <row r="42" spans="2:14" hidden="1" x14ac:dyDescent="0.25">
      <c r="B42" s="11">
        <v>0.41666666666666669</v>
      </c>
      <c r="D42" s="50" t="s">
        <v>276</v>
      </c>
      <c r="E42" s="315" t="s">
        <v>3179</v>
      </c>
      <c r="F42" s="51" t="s">
        <v>278</v>
      </c>
      <c r="G42" s="52">
        <v>6611</v>
      </c>
      <c r="H42" s="51">
        <v>42770</v>
      </c>
      <c r="I42" s="50" t="s">
        <v>245</v>
      </c>
      <c r="J42" s="53">
        <v>0.75</v>
      </c>
      <c r="K42" s="53">
        <v>0.79166666666666663</v>
      </c>
      <c r="L42" s="298">
        <v>4</v>
      </c>
      <c r="M42" s="642" t="s">
        <v>3545</v>
      </c>
      <c r="N42" s="298"/>
    </row>
    <row r="43" spans="2:14" hidden="1" x14ac:dyDescent="0.25">
      <c r="B43" s="11">
        <v>0.42708333333333331</v>
      </c>
      <c r="D43" s="50" t="s">
        <v>279</v>
      </c>
      <c r="E43" s="315" t="s">
        <v>3180</v>
      </c>
      <c r="F43" s="51" t="s">
        <v>200</v>
      </c>
      <c r="G43" s="52">
        <v>5217</v>
      </c>
      <c r="H43" s="51">
        <v>42500</v>
      </c>
      <c r="I43" s="50" t="s">
        <v>191</v>
      </c>
      <c r="J43" s="53">
        <v>0.75</v>
      </c>
      <c r="K43" s="53">
        <v>0.75</v>
      </c>
      <c r="L43" s="298">
        <v>5</v>
      </c>
      <c r="M43" s="642" t="s">
        <v>3546</v>
      </c>
      <c r="N43" s="298"/>
    </row>
    <row r="44" spans="2:14" hidden="1" x14ac:dyDescent="0.25">
      <c r="B44" s="11">
        <v>0.4375</v>
      </c>
      <c r="D44" s="50" t="s">
        <v>281</v>
      </c>
      <c r="E44" s="315" t="s">
        <v>3181</v>
      </c>
      <c r="F44" s="51" t="s">
        <v>200</v>
      </c>
      <c r="G44" s="52">
        <v>386</v>
      </c>
      <c r="H44" s="51">
        <v>42500</v>
      </c>
      <c r="I44" s="50" t="s">
        <v>191</v>
      </c>
      <c r="J44" s="53">
        <v>0.75</v>
      </c>
      <c r="K44" s="53">
        <v>0.75</v>
      </c>
      <c r="L44" s="298">
        <v>5</v>
      </c>
      <c r="M44" s="642" t="s">
        <v>3547</v>
      </c>
      <c r="N44" s="298"/>
    </row>
    <row r="45" spans="2:14" hidden="1" x14ac:dyDescent="0.25">
      <c r="B45" s="11">
        <v>0.44791666666666669</v>
      </c>
      <c r="D45" s="50" t="s">
        <v>283</v>
      </c>
      <c r="E45" s="315" t="s">
        <v>3182</v>
      </c>
      <c r="F45" s="51" t="s">
        <v>216</v>
      </c>
      <c r="G45" s="52">
        <v>88</v>
      </c>
      <c r="H45" s="51">
        <v>42611</v>
      </c>
      <c r="I45" s="50" t="s">
        <v>245</v>
      </c>
      <c r="J45" s="53">
        <v>0.75</v>
      </c>
      <c r="K45" s="53">
        <v>0.75</v>
      </c>
      <c r="L45" s="298">
        <v>5</v>
      </c>
      <c r="M45" s="642" t="s">
        <v>3548</v>
      </c>
      <c r="N45" s="298"/>
    </row>
    <row r="46" spans="2:14" hidden="1" x14ac:dyDescent="0.25">
      <c r="B46" s="11">
        <v>0.45833333333333331</v>
      </c>
      <c r="D46" s="50" t="s">
        <v>285</v>
      </c>
      <c r="E46" s="315" t="s">
        <v>3183</v>
      </c>
      <c r="F46" s="51" t="s">
        <v>216</v>
      </c>
      <c r="G46" s="52">
        <v>86</v>
      </c>
      <c r="H46" s="51">
        <v>42611</v>
      </c>
      <c r="I46" s="50" t="s">
        <v>245</v>
      </c>
      <c r="J46" s="53">
        <v>0.77083333333333337</v>
      </c>
      <c r="K46" s="53">
        <v>0.8125</v>
      </c>
      <c r="L46" s="298">
        <v>5</v>
      </c>
      <c r="M46" s="642" t="s">
        <v>3549</v>
      </c>
      <c r="N46" s="298"/>
    </row>
    <row r="47" spans="2:14" hidden="1" x14ac:dyDescent="0.25">
      <c r="B47" s="11">
        <v>0.46875</v>
      </c>
      <c r="D47" s="50" t="s">
        <v>287</v>
      </c>
      <c r="E47" s="315" t="s">
        <v>3184</v>
      </c>
      <c r="F47" s="51" t="s">
        <v>200</v>
      </c>
      <c r="G47" s="52">
        <v>385</v>
      </c>
      <c r="H47" s="51">
        <v>43704</v>
      </c>
      <c r="I47" s="50" t="s">
        <v>191</v>
      </c>
      <c r="J47" s="53">
        <v>0.72916666666666663</v>
      </c>
      <c r="K47" s="53">
        <v>0.77083333333333337</v>
      </c>
      <c r="L47" s="298">
        <v>4</v>
      </c>
      <c r="M47" s="642" t="s">
        <v>3508</v>
      </c>
      <c r="N47" s="298"/>
    </row>
    <row r="48" spans="2:14" hidden="1" x14ac:dyDescent="0.25">
      <c r="B48" s="11">
        <v>0.47916666666666669</v>
      </c>
      <c r="D48" s="50" t="s">
        <v>289</v>
      </c>
      <c r="E48" s="315" t="s">
        <v>3185</v>
      </c>
      <c r="F48" s="51" t="s">
        <v>291</v>
      </c>
      <c r="G48" s="52">
        <v>26</v>
      </c>
      <c r="H48" s="51">
        <v>43812</v>
      </c>
      <c r="I48" s="50" t="s">
        <v>191</v>
      </c>
      <c r="J48" s="53">
        <v>0.75</v>
      </c>
      <c r="K48" s="53"/>
      <c r="L48" s="298">
        <v>5</v>
      </c>
      <c r="M48" s="642" t="s">
        <v>3516</v>
      </c>
      <c r="N48" s="298"/>
    </row>
    <row r="49" spans="2:14" hidden="1" x14ac:dyDescent="0.25">
      <c r="B49" s="11">
        <v>0.48958333333333331</v>
      </c>
      <c r="D49" s="50" t="s">
        <v>292</v>
      </c>
      <c r="E49" s="315" t="s">
        <v>3186</v>
      </c>
      <c r="F49" s="51" t="s">
        <v>190</v>
      </c>
      <c r="G49" s="52">
        <v>398</v>
      </c>
      <c r="H49" s="51">
        <v>42938</v>
      </c>
      <c r="I49" s="50" t="s">
        <v>245</v>
      </c>
      <c r="J49" s="53">
        <v>0.75</v>
      </c>
      <c r="K49" s="53">
        <v>0.79166666666666663</v>
      </c>
      <c r="L49" s="298">
        <v>5</v>
      </c>
      <c r="M49" s="642" t="s">
        <v>3550</v>
      </c>
      <c r="N49" s="298"/>
    </row>
    <row r="50" spans="2:14" hidden="1" x14ac:dyDescent="0.25">
      <c r="B50" s="11">
        <v>0.5</v>
      </c>
      <c r="D50" s="50" t="s">
        <v>294</v>
      </c>
      <c r="E50" s="315" t="s">
        <v>3187</v>
      </c>
      <c r="F50" s="51" t="s">
        <v>200</v>
      </c>
      <c r="G50" s="52">
        <v>390</v>
      </c>
      <c r="H50" s="51">
        <v>43650</v>
      </c>
      <c r="I50" s="50" t="s">
        <v>191</v>
      </c>
      <c r="J50" s="53">
        <v>0.72916666666666663</v>
      </c>
      <c r="K50" s="53">
        <v>0.77083333333333337</v>
      </c>
      <c r="L50" s="298">
        <v>4</v>
      </c>
      <c r="M50" s="642" t="s">
        <v>3509</v>
      </c>
      <c r="N50" s="298"/>
    </row>
    <row r="51" spans="2:14" hidden="1" x14ac:dyDescent="0.25">
      <c r="B51" s="11">
        <v>0.51041666666666663</v>
      </c>
      <c r="D51" s="50" t="s">
        <v>296</v>
      </c>
      <c r="E51" s="315" t="s">
        <v>3188</v>
      </c>
      <c r="F51" s="51" t="s">
        <v>298</v>
      </c>
      <c r="G51" s="52">
        <v>381</v>
      </c>
      <c r="H51" s="51">
        <v>42604</v>
      </c>
      <c r="I51" s="50" t="s">
        <v>245</v>
      </c>
      <c r="J51" s="53">
        <v>0.72916666666666663</v>
      </c>
      <c r="K51" s="53">
        <v>0.72916666666666663</v>
      </c>
      <c r="L51" s="298">
        <v>5</v>
      </c>
      <c r="M51" s="642" t="s">
        <v>3551</v>
      </c>
      <c r="N51" s="298"/>
    </row>
    <row r="52" spans="2:14" hidden="1" x14ac:dyDescent="0.25">
      <c r="B52" s="11">
        <v>0.52083333333333337</v>
      </c>
      <c r="D52" s="50" t="s">
        <v>299</v>
      </c>
      <c r="E52" s="315" t="s">
        <v>3189</v>
      </c>
      <c r="F52" s="51" t="s">
        <v>233</v>
      </c>
      <c r="G52" s="52">
        <v>6585</v>
      </c>
      <c r="H52" s="51">
        <v>42543</v>
      </c>
      <c r="I52" s="50" t="s">
        <v>191</v>
      </c>
      <c r="J52" s="53">
        <v>0.75</v>
      </c>
      <c r="K52" s="53">
        <v>0.75</v>
      </c>
      <c r="L52" s="298">
        <v>5</v>
      </c>
      <c r="M52" s="642" t="s">
        <v>3552</v>
      </c>
      <c r="N52" s="298"/>
    </row>
    <row r="53" spans="2:14" hidden="1" x14ac:dyDescent="0.25">
      <c r="B53" s="11">
        <v>0.53125</v>
      </c>
      <c r="D53" s="50" t="s">
        <v>3191</v>
      </c>
      <c r="E53" s="315" t="s">
        <v>3190</v>
      </c>
      <c r="F53" s="51" t="s">
        <v>302</v>
      </c>
      <c r="G53" s="52">
        <v>404</v>
      </c>
      <c r="H53" s="51">
        <v>43198</v>
      </c>
      <c r="I53" s="50" t="s">
        <v>191</v>
      </c>
      <c r="J53" s="53">
        <v>0.72916666666666663</v>
      </c>
      <c r="K53" s="53">
        <v>0.77083333333333337</v>
      </c>
      <c r="L53" s="298">
        <v>5</v>
      </c>
      <c r="M53" s="642" t="s">
        <v>3553</v>
      </c>
      <c r="N53" s="298"/>
    </row>
    <row r="54" spans="2:14" hidden="1" x14ac:dyDescent="0.25">
      <c r="B54" s="11">
        <v>0.54166666666666663</v>
      </c>
      <c r="D54" s="50" t="s">
        <v>303</v>
      </c>
      <c r="E54" s="315" t="s">
        <v>3192</v>
      </c>
      <c r="F54" s="51" t="s">
        <v>197</v>
      </c>
      <c r="G54" s="52">
        <v>6612</v>
      </c>
      <c r="H54" s="51">
        <v>42543</v>
      </c>
      <c r="I54" s="50" t="s">
        <v>245</v>
      </c>
      <c r="J54" s="53"/>
      <c r="K54" s="53"/>
      <c r="L54" s="298">
        <v>5</v>
      </c>
      <c r="M54" s="642" t="s">
        <v>3554</v>
      </c>
      <c r="N54" s="298"/>
    </row>
    <row r="55" spans="2:14" hidden="1" x14ac:dyDescent="0.25">
      <c r="B55" s="11">
        <v>0.55208333333333337</v>
      </c>
      <c r="D55" s="50" t="s">
        <v>305</v>
      </c>
      <c r="E55" s="315" t="s">
        <v>3193</v>
      </c>
      <c r="F55" s="51" t="s">
        <v>278</v>
      </c>
      <c r="G55" s="52">
        <v>6600</v>
      </c>
      <c r="H55" s="51">
        <v>42975</v>
      </c>
      <c r="I55" s="50" t="s">
        <v>191</v>
      </c>
      <c r="J55" s="53">
        <v>0.72916666666666663</v>
      </c>
      <c r="K55" s="53"/>
      <c r="L55" s="298">
        <v>4</v>
      </c>
      <c r="M55" s="642" t="s">
        <v>3555</v>
      </c>
      <c r="N55" s="298"/>
    </row>
    <row r="56" spans="2:14" hidden="1" x14ac:dyDescent="0.25">
      <c r="B56" s="11">
        <v>0.5625</v>
      </c>
      <c r="D56" s="50" t="s">
        <v>307</v>
      </c>
      <c r="E56" s="315" t="s">
        <v>3194</v>
      </c>
      <c r="F56" s="51" t="s">
        <v>298</v>
      </c>
      <c r="G56" s="52">
        <v>380</v>
      </c>
      <c r="H56" s="51">
        <v>42589</v>
      </c>
      <c r="I56" s="50" t="s">
        <v>191</v>
      </c>
      <c r="J56" s="53">
        <v>0.75</v>
      </c>
      <c r="K56" s="53">
        <v>0.79166666666666663</v>
      </c>
      <c r="L56" s="298">
        <v>3</v>
      </c>
      <c r="M56" s="642" t="s">
        <v>3556</v>
      </c>
      <c r="N56" s="298"/>
    </row>
    <row r="57" spans="2:14" hidden="1" x14ac:dyDescent="0.25">
      <c r="B57" s="11">
        <v>0.57291666666666663</v>
      </c>
      <c r="D57" s="50" t="s">
        <v>309</v>
      </c>
      <c r="E57" s="50" t="s">
        <v>3564</v>
      </c>
      <c r="F57" s="51" t="s">
        <v>311</v>
      </c>
      <c r="G57" s="52">
        <v>6587</v>
      </c>
      <c r="H57" s="51">
        <v>43212</v>
      </c>
      <c r="I57" s="50" t="s">
        <v>191</v>
      </c>
      <c r="J57" s="53">
        <v>0.72916666666666663</v>
      </c>
      <c r="K57" s="53"/>
      <c r="L57" s="298">
        <v>5</v>
      </c>
      <c r="M57" s="642" t="s">
        <v>3557</v>
      </c>
      <c r="N57" s="298"/>
    </row>
    <row r="58" spans="2:14" hidden="1" x14ac:dyDescent="0.25">
      <c r="B58" s="11">
        <v>0.58333333333333337</v>
      </c>
      <c r="D58" s="50" t="s">
        <v>312</v>
      </c>
      <c r="E58" s="315" t="s">
        <v>3195</v>
      </c>
      <c r="F58" s="51" t="s">
        <v>244</v>
      </c>
      <c r="G58" s="52">
        <v>83</v>
      </c>
      <c r="H58" s="51">
        <v>42608</v>
      </c>
      <c r="I58" s="50" t="s">
        <v>245</v>
      </c>
      <c r="J58" s="53">
        <v>0.75</v>
      </c>
      <c r="K58" s="53">
        <v>0.79166666666666663</v>
      </c>
      <c r="L58" s="298">
        <v>5</v>
      </c>
      <c r="M58" s="642" t="s">
        <v>3558</v>
      </c>
      <c r="N58" s="298"/>
    </row>
    <row r="59" spans="2:14" hidden="1" x14ac:dyDescent="0.25">
      <c r="B59" s="11">
        <v>0.59375</v>
      </c>
      <c r="D59" s="50" t="s">
        <v>314</v>
      </c>
      <c r="E59" s="315" t="s">
        <v>3196</v>
      </c>
      <c r="F59" s="51" t="s">
        <v>190</v>
      </c>
      <c r="G59" s="52">
        <v>399</v>
      </c>
      <c r="H59" s="51">
        <v>42938</v>
      </c>
      <c r="I59" s="50" t="s">
        <v>245</v>
      </c>
      <c r="J59" s="53">
        <v>0.75</v>
      </c>
      <c r="K59" s="53">
        <v>0.79166666666666663</v>
      </c>
      <c r="L59" s="298">
        <v>5</v>
      </c>
      <c r="M59" s="642" t="s">
        <v>3543</v>
      </c>
      <c r="N59" s="298"/>
    </row>
    <row r="60" spans="2:14" hidden="1" x14ac:dyDescent="0.25">
      <c r="B60" s="11">
        <v>0.60416666666666663</v>
      </c>
      <c r="D60" s="50" t="s">
        <v>316</v>
      </c>
      <c r="E60" s="315" t="s">
        <v>3197</v>
      </c>
      <c r="F60" s="51" t="s">
        <v>216</v>
      </c>
      <c r="G60" s="52">
        <v>87</v>
      </c>
      <c r="H60" s="51">
        <v>42611</v>
      </c>
      <c r="I60" s="50" t="s">
        <v>245</v>
      </c>
      <c r="J60" s="53">
        <v>0.75</v>
      </c>
      <c r="K60" s="53">
        <v>0.75</v>
      </c>
      <c r="L60" s="298">
        <v>5</v>
      </c>
      <c r="M60" s="642" t="s">
        <v>3559</v>
      </c>
      <c r="N60" s="298"/>
    </row>
    <row r="61" spans="2:14" hidden="1" x14ac:dyDescent="0.25">
      <c r="B61" s="11">
        <v>0.61458333333333337</v>
      </c>
      <c r="D61" s="50" t="s">
        <v>318</v>
      </c>
      <c r="E61" s="315" t="s">
        <v>3198</v>
      </c>
      <c r="F61" s="51" t="s">
        <v>197</v>
      </c>
      <c r="G61" s="52">
        <v>382</v>
      </c>
      <c r="H61" s="51">
        <v>43411</v>
      </c>
      <c r="I61" s="50" t="s">
        <v>191</v>
      </c>
      <c r="J61" s="53">
        <v>0.72916666666666663</v>
      </c>
      <c r="K61" s="53">
        <v>0.77083333333333337</v>
      </c>
      <c r="L61" s="298">
        <v>5</v>
      </c>
      <c r="M61" s="642" t="s">
        <v>3560</v>
      </c>
      <c r="N61" s="298"/>
    </row>
    <row r="62" spans="2:14" hidden="1" x14ac:dyDescent="0.25">
      <c r="B62" s="11">
        <v>0.625</v>
      </c>
      <c r="D62" s="50" t="s">
        <v>320</v>
      </c>
      <c r="E62" s="315" t="s">
        <v>3199</v>
      </c>
      <c r="F62" s="51" t="s">
        <v>190</v>
      </c>
      <c r="G62" s="52">
        <v>401</v>
      </c>
      <c r="H62" s="51">
        <v>42938</v>
      </c>
      <c r="I62" s="50" t="s">
        <v>245</v>
      </c>
      <c r="J62" s="53">
        <v>0.75</v>
      </c>
      <c r="K62" s="53">
        <v>0.79166666666666663</v>
      </c>
      <c r="L62" s="298">
        <v>5</v>
      </c>
      <c r="M62" s="642" t="s">
        <v>3561</v>
      </c>
      <c r="N62" s="298"/>
    </row>
    <row r="63" spans="2:14" hidden="1" x14ac:dyDescent="0.25">
      <c r="B63" s="11">
        <v>0.63541666666666663</v>
      </c>
      <c r="D63" s="50" t="s">
        <v>322</v>
      </c>
      <c r="E63" s="315" t="s">
        <v>3200</v>
      </c>
      <c r="F63" s="51" t="s">
        <v>190</v>
      </c>
      <c r="G63" s="52">
        <v>397</v>
      </c>
      <c r="H63" s="51">
        <v>43270</v>
      </c>
      <c r="I63" s="50" t="s">
        <v>191</v>
      </c>
      <c r="J63" s="53">
        <v>0.75</v>
      </c>
      <c r="K63" s="53">
        <v>0.79166666666666663</v>
      </c>
      <c r="L63" s="298">
        <v>5</v>
      </c>
      <c r="M63" s="642" t="s">
        <v>3562</v>
      </c>
      <c r="N63" s="298"/>
    </row>
    <row r="64" spans="2:14" hidden="1" x14ac:dyDescent="0.25">
      <c r="B64" s="11">
        <v>0.64583333333333337</v>
      </c>
      <c r="D64" s="50" t="s">
        <v>324</v>
      </c>
      <c r="E64" s="315" t="s">
        <v>3201</v>
      </c>
      <c r="F64" s="51" t="s">
        <v>311</v>
      </c>
      <c r="G64" s="52">
        <v>46</v>
      </c>
      <c r="H64" s="51">
        <v>42877</v>
      </c>
      <c r="I64" s="50" t="s">
        <v>245</v>
      </c>
      <c r="J64" s="53">
        <v>0.72916666666666663</v>
      </c>
      <c r="K64" s="53">
        <v>0.77083333333333337</v>
      </c>
      <c r="L64" s="298">
        <v>5</v>
      </c>
      <c r="M64" s="642" t="s">
        <v>3563</v>
      </c>
      <c r="N64" s="298"/>
    </row>
    <row r="65" spans="2:13" hidden="1" x14ac:dyDescent="0.25">
      <c r="B65" s="11">
        <v>0.65625</v>
      </c>
      <c r="D65" s="50" t="s">
        <v>326</v>
      </c>
      <c r="E65" s="315" t="s">
        <v>3202</v>
      </c>
      <c r="F65" s="51" t="s">
        <v>190</v>
      </c>
      <c r="G65" s="52">
        <v>400</v>
      </c>
      <c r="H65" s="51">
        <v>42877</v>
      </c>
      <c r="I65" s="50" t="s">
        <v>245</v>
      </c>
      <c r="J65" s="53">
        <v>0.75</v>
      </c>
      <c r="K65" s="53">
        <v>0.79166666666666663</v>
      </c>
      <c r="L65" s="298">
        <v>5</v>
      </c>
      <c r="M65" s="642" t="s">
        <v>3510</v>
      </c>
    </row>
    <row r="66" spans="2:13" hidden="1" x14ac:dyDescent="0.25">
      <c r="B66" s="11">
        <v>0.66666666666666663</v>
      </c>
      <c r="D66" s="694"/>
      <c r="E66" s="694"/>
      <c r="F66" s="51"/>
      <c r="G66" s="696"/>
      <c r="H66" s="695"/>
      <c r="I66" s="50"/>
      <c r="J66" s="697"/>
      <c r="K66" s="697"/>
      <c r="L66" s="298"/>
      <c r="M66" s="642"/>
    </row>
    <row r="67" spans="2:13" x14ac:dyDescent="0.25">
      <c r="B67" s="11">
        <v>0.67708333333333337</v>
      </c>
    </row>
    <row r="68" spans="2:13" x14ac:dyDescent="0.25">
      <c r="B68" s="11">
        <v>0.6875</v>
      </c>
    </row>
    <row r="69" spans="2:13" x14ac:dyDescent="0.25">
      <c r="B69" s="11">
        <v>0.69791666666666663</v>
      </c>
    </row>
    <row r="70" spans="2:13" x14ac:dyDescent="0.25">
      <c r="B70" s="11">
        <v>0.70833333333333337</v>
      </c>
    </row>
    <row r="71" spans="2:13" x14ac:dyDescent="0.25">
      <c r="B71" s="11">
        <v>0.71875</v>
      </c>
    </row>
    <row r="72" spans="2:13" x14ac:dyDescent="0.25">
      <c r="B72" s="11">
        <v>0.72916666666666663</v>
      </c>
    </row>
    <row r="73" spans="2:13" x14ac:dyDescent="0.25">
      <c r="B73" s="11">
        <v>0.73958333333333337</v>
      </c>
    </row>
    <row r="74" spans="2:13" x14ac:dyDescent="0.25">
      <c r="B74" s="11">
        <v>0.75</v>
      </c>
    </row>
    <row r="75" spans="2:13" x14ac:dyDescent="0.25">
      <c r="B75" s="11">
        <v>0.76041666666666663</v>
      </c>
    </row>
    <row r="76" spans="2:13" x14ac:dyDescent="0.25">
      <c r="B76" s="11">
        <v>0.77083333333333337</v>
      </c>
    </row>
    <row r="77" spans="2:13" x14ac:dyDescent="0.25">
      <c r="B77" s="11">
        <v>0.78125</v>
      </c>
    </row>
    <row r="78" spans="2:13" x14ac:dyDescent="0.25">
      <c r="B78" s="11">
        <v>0.79166666666666663</v>
      </c>
    </row>
    <row r="79" spans="2:13" x14ac:dyDescent="0.25">
      <c r="B79" s="11">
        <v>0.80208333333333337</v>
      </c>
    </row>
    <row r="80" spans="2:13" x14ac:dyDescent="0.25">
      <c r="B80" s="11">
        <v>0.8125</v>
      </c>
    </row>
    <row r="81" spans="2:2" x14ac:dyDescent="0.25">
      <c r="B81" s="11">
        <v>0.82291666666666663</v>
      </c>
    </row>
    <row r="82" spans="2:2" x14ac:dyDescent="0.25">
      <c r="B82" s="11">
        <v>0.83333333333333337</v>
      </c>
    </row>
    <row r="83" spans="2:2" x14ac:dyDescent="0.25">
      <c r="B83" s="11">
        <v>0.84375</v>
      </c>
    </row>
    <row r="84" spans="2:2" x14ac:dyDescent="0.25">
      <c r="B84" s="11">
        <v>0.85416666666666663</v>
      </c>
    </row>
    <row r="85" spans="2:2" x14ac:dyDescent="0.25">
      <c r="B85" s="11">
        <v>0.86458333333333337</v>
      </c>
    </row>
    <row r="86" spans="2:2" x14ac:dyDescent="0.25">
      <c r="B86" s="11">
        <v>0.875</v>
      </c>
    </row>
    <row r="87" spans="2:2" x14ac:dyDescent="0.25">
      <c r="B87" s="11">
        <v>0.88541666666666663</v>
      </c>
    </row>
    <row r="88" spans="2:2" x14ac:dyDescent="0.25">
      <c r="B88" s="11">
        <v>0.89583333333333337</v>
      </c>
    </row>
    <row r="89" spans="2:2" x14ac:dyDescent="0.25">
      <c r="B89" s="11">
        <v>0.90625</v>
      </c>
    </row>
    <row r="90" spans="2:2" x14ac:dyDescent="0.25">
      <c r="B90" s="11">
        <v>0.91666666666666663</v>
      </c>
    </row>
    <row r="91" spans="2:2" x14ac:dyDescent="0.25">
      <c r="B91" s="11">
        <v>0.92708333333333337</v>
      </c>
    </row>
    <row r="92" spans="2:2" x14ac:dyDescent="0.25">
      <c r="B92" s="11">
        <v>0.9375</v>
      </c>
    </row>
    <row r="93" spans="2:2" x14ac:dyDescent="0.25">
      <c r="B93" s="11">
        <v>0.94791666666666663</v>
      </c>
    </row>
    <row r="94" spans="2:2" x14ac:dyDescent="0.25">
      <c r="B94" s="11">
        <v>0.95833333333333337</v>
      </c>
    </row>
    <row r="95" spans="2:2" x14ac:dyDescent="0.25">
      <c r="B95" s="11">
        <v>0.96875</v>
      </c>
    </row>
    <row r="96" spans="2:2" x14ac:dyDescent="0.25">
      <c r="B96" s="11">
        <v>0.97916666666666663</v>
      </c>
    </row>
    <row r="97" spans="2:3" x14ac:dyDescent="0.25">
      <c r="B97" s="11">
        <v>0.98958333333333337</v>
      </c>
    </row>
    <row r="99" spans="2:3" x14ac:dyDescent="0.25">
      <c r="C99" s="629" t="s">
        <v>3492</v>
      </c>
    </row>
    <row r="100" spans="2:3" x14ac:dyDescent="0.25">
      <c r="C100" s="629" t="s">
        <v>3489</v>
      </c>
    </row>
    <row r="101" spans="2:3" x14ac:dyDescent="0.25">
      <c r="C101" s="629" t="s">
        <v>3490</v>
      </c>
    </row>
    <row r="102" spans="2:3" x14ac:dyDescent="0.25">
      <c r="C102" s="629" t="s">
        <v>3491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1"/>
  <dimension ref="A1:C1739"/>
  <sheetViews>
    <sheetView showGridLines="0" topLeftCell="A708" workbookViewId="0">
      <selection activeCell="A726" sqref="A726"/>
    </sheetView>
  </sheetViews>
  <sheetFormatPr defaultColWidth="9.140625" defaultRowHeight="11.25" x14ac:dyDescent="0.25"/>
  <cols>
    <col min="1" max="1" width="9.140625" style="251"/>
    <col min="2" max="2" width="50.7109375" style="251" customWidth="1"/>
    <col min="3" max="3" width="100.7109375" style="251" customWidth="1"/>
    <col min="4" max="16384" width="9.140625" style="251"/>
  </cols>
  <sheetData>
    <row r="1" spans="1:3" x14ac:dyDescent="0.25">
      <c r="A1" s="584" t="s">
        <v>814</v>
      </c>
      <c r="B1" s="584" t="s">
        <v>180</v>
      </c>
      <c r="C1" s="584" t="s">
        <v>815</v>
      </c>
    </row>
    <row r="2" spans="1:3" x14ac:dyDescent="0.25">
      <c r="A2" s="585">
        <v>-2002</v>
      </c>
      <c r="B2" s="585" t="s">
        <v>816</v>
      </c>
      <c r="C2" s="585" t="s">
        <v>817</v>
      </c>
    </row>
    <row r="3" spans="1:3" x14ac:dyDescent="0.25">
      <c r="A3" s="585">
        <v>-2001</v>
      </c>
      <c r="B3" s="585" t="s">
        <v>818</v>
      </c>
      <c r="C3" s="585" t="s">
        <v>817</v>
      </c>
    </row>
    <row r="4" spans="1:3" x14ac:dyDescent="0.25">
      <c r="A4" s="585">
        <v>-1245</v>
      </c>
      <c r="B4" s="585" t="s">
        <v>819</v>
      </c>
      <c r="C4" s="585" t="s">
        <v>819</v>
      </c>
    </row>
    <row r="5" spans="1:3" x14ac:dyDescent="0.25">
      <c r="A5" s="585">
        <v>-103</v>
      </c>
      <c r="B5" s="585" t="s">
        <v>820</v>
      </c>
      <c r="C5" s="585" t="s">
        <v>820</v>
      </c>
    </row>
    <row r="6" spans="1:3" x14ac:dyDescent="0.25">
      <c r="A6" s="585">
        <v>-31</v>
      </c>
      <c r="B6" s="585" t="s">
        <v>821</v>
      </c>
      <c r="C6" s="585" t="s">
        <v>822</v>
      </c>
    </row>
    <row r="7" spans="1:3" x14ac:dyDescent="0.25">
      <c r="A7" s="585">
        <v>-1</v>
      </c>
      <c r="B7" s="585" t="s">
        <v>46</v>
      </c>
      <c r="C7" s="585" t="s">
        <v>46</v>
      </c>
    </row>
    <row r="8" spans="1:3" x14ac:dyDescent="0.25">
      <c r="A8" s="585">
        <v>0</v>
      </c>
      <c r="B8" s="585" t="s">
        <v>823</v>
      </c>
      <c r="C8" s="585" t="s">
        <v>823</v>
      </c>
    </row>
    <row r="9" spans="1:3" x14ac:dyDescent="0.25">
      <c r="A9" s="585">
        <v>1</v>
      </c>
      <c r="B9" s="585" t="s">
        <v>640</v>
      </c>
      <c r="C9" s="585" t="s">
        <v>640</v>
      </c>
    </row>
    <row r="10" spans="1:3" x14ac:dyDescent="0.25">
      <c r="A10" s="585">
        <v>2</v>
      </c>
      <c r="B10" s="585" t="s">
        <v>638</v>
      </c>
      <c r="C10" s="585" t="s">
        <v>638</v>
      </c>
    </row>
    <row r="11" spans="1:3" x14ac:dyDescent="0.25">
      <c r="A11" s="585">
        <v>3</v>
      </c>
      <c r="B11" s="585" t="s">
        <v>636</v>
      </c>
      <c r="C11" s="585" t="s">
        <v>636</v>
      </c>
    </row>
    <row r="12" spans="1:3" x14ac:dyDescent="0.25">
      <c r="A12" s="585">
        <v>4</v>
      </c>
      <c r="B12" s="585" t="s">
        <v>824</v>
      </c>
      <c r="C12" s="585" t="s">
        <v>824</v>
      </c>
    </row>
    <row r="13" spans="1:3" x14ac:dyDescent="0.25">
      <c r="A13" s="585">
        <v>7</v>
      </c>
      <c r="B13" s="585" t="s">
        <v>825</v>
      </c>
      <c r="C13" s="585" t="s">
        <v>825</v>
      </c>
    </row>
    <row r="14" spans="1:3" x14ac:dyDescent="0.25">
      <c r="A14" s="585">
        <v>9</v>
      </c>
      <c r="B14" s="585" t="s">
        <v>826</v>
      </c>
      <c r="C14" s="585" t="s">
        <v>826</v>
      </c>
    </row>
    <row r="15" spans="1:3" x14ac:dyDescent="0.25">
      <c r="A15" s="585">
        <v>10</v>
      </c>
      <c r="B15" s="585" t="s">
        <v>827</v>
      </c>
      <c r="C15" s="585" t="s">
        <v>827</v>
      </c>
    </row>
    <row r="16" spans="1:3" x14ac:dyDescent="0.25">
      <c r="A16" s="585">
        <v>11</v>
      </c>
      <c r="B16" s="585" t="s">
        <v>828</v>
      </c>
      <c r="C16" s="585" t="s">
        <v>828</v>
      </c>
    </row>
    <row r="17" spans="1:3" x14ac:dyDescent="0.25">
      <c r="A17" s="585">
        <v>12</v>
      </c>
      <c r="B17" s="585" t="s">
        <v>829</v>
      </c>
      <c r="C17" s="585" t="s">
        <v>829</v>
      </c>
    </row>
    <row r="18" spans="1:3" x14ac:dyDescent="0.25">
      <c r="A18" s="585">
        <v>13</v>
      </c>
      <c r="B18" s="585" t="s">
        <v>3466</v>
      </c>
      <c r="C18" s="585" t="s">
        <v>3466</v>
      </c>
    </row>
    <row r="19" spans="1:3" x14ac:dyDescent="0.25">
      <c r="A19" s="585">
        <v>16</v>
      </c>
      <c r="B19" s="585"/>
      <c r="C19" s="585" t="s">
        <v>830</v>
      </c>
    </row>
    <row r="20" spans="1:3" x14ac:dyDescent="0.25">
      <c r="A20" s="585">
        <v>18</v>
      </c>
      <c r="B20" s="585"/>
      <c r="C20" s="585" t="s">
        <v>831</v>
      </c>
    </row>
    <row r="21" spans="1:3" x14ac:dyDescent="0.25">
      <c r="A21" s="585">
        <v>19</v>
      </c>
      <c r="B21" s="585" t="s">
        <v>832</v>
      </c>
      <c r="C21" s="585" t="s">
        <v>833</v>
      </c>
    </row>
    <row r="22" spans="1:3" x14ac:dyDescent="0.25">
      <c r="A22" s="585">
        <v>22</v>
      </c>
      <c r="B22" s="585"/>
      <c r="C22" s="585" t="s">
        <v>834</v>
      </c>
    </row>
    <row r="23" spans="1:3" x14ac:dyDescent="0.25">
      <c r="A23" s="585">
        <v>23</v>
      </c>
      <c r="B23" s="585" t="s">
        <v>835</v>
      </c>
      <c r="C23" s="585" t="s">
        <v>836</v>
      </c>
    </row>
    <row r="24" spans="1:3" x14ac:dyDescent="0.25">
      <c r="A24" s="585">
        <v>26</v>
      </c>
      <c r="B24" s="585" t="s">
        <v>3258</v>
      </c>
      <c r="C24" s="585" t="s">
        <v>290</v>
      </c>
    </row>
    <row r="25" spans="1:3" x14ac:dyDescent="0.25">
      <c r="A25" s="585">
        <v>27</v>
      </c>
      <c r="B25" s="585"/>
      <c r="C25" s="585" t="s">
        <v>837</v>
      </c>
    </row>
    <row r="26" spans="1:3" x14ac:dyDescent="0.25">
      <c r="A26" s="585">
        <v>28</v>
      </c>
      <c r="B26" s="585" t="s">
        <v>240</v>
      </c>
      <c r="C26" s="585" t="s">
        <v>241</v>
      </c>
    </row>
    <row r="27" spans="1:3" x14ac:dyDescent="0.25">
      <c r="A27" s="585">
        <v>31</v>
      </c>
      <c r="B27" s="585" t="s">
        <v>206</v>
      </c>
      <c r="C27" s="585" t="s">
        <v>207</v>
      </c>
    </row>
    <row r="28" spans="1:3" x14ac:dyDescent="0.25">
      <c r="A28" s="585">
        <v>32</v>
      </c>
      <c r="B28" s="585" t="s">
        <v>838</v>
      </c>
      <c r="C28" s="585" t="s">
        <v>225</v>
      </c>
    </row>
    <row r="29" spans="1:3" x14ac:dyDescent="0.25">
      <c r="A29" s="585">
        <v>37</v>
      </c>
      <c r="B29" s="585" t="s">
        <v>3259</v>
      </c>
      <c r="C29" s="585" t="s">
        <v>228</v>
      </c>
    </row>
    <row r="30" spans="1:3" x14ac:dyDescent="0.25">
      <c r="A30" s="585">
        <v>38</v>
      </c>
      <c r="B30" s="585" t="s">
        <v>3260</v>
      </c>
      <c r="C30" s="585" t="s">
        <v>235</v>
      </c>
    </row>
    <row r="31" spans="1:3" x14ac:dyDescent="0.25">
      <c r="A31" s="585">
        <v>39</v>
      </c>
      <c r="B31" s="585" t="s">
        <v>3261</v>
      </c>
      <c r="C31" s="585" t="s">
        <v>259</v>
      </c>
    </row>
    <row r="32" spans="1:3" x14ac:dyDescent="0.25">
      <c r="A32" s="585">
        <v>40</v>
      </c>
      <c r="B32" s="585" t="s">
        <v>3262</v>
      </c>
      <c r="C32" s="585" t="s">
        <v>265</v>
      </c>
    </row>
    <row r="33" spans="1:3" x14ac:dyDescent="0.25">
      <c r="A33" s="585">
        <v>41</v>
      </c>
      <c r="B33" s="585"/>
      <c r="C33" s="585" t="s">
        <v>839</v>
      </c>
    </row>
    <row r="34" spans="1:3" x14ac:dyDescent="0.25">
      <c r="A34" s="585">
        <v>43</v>
      </c>
      <c r="B34" s="585" t="s">
        <v>3263</v>
      </c>
      <c r="C34" s="585" t="s">
        <v>223</v>
      </c>
    </row>
    <row r="35" spans="1:3" x14ac:dyDescent="0.25">
      <c r="A35" s="585">
        <v>44</v>
      </c>
      <c r="B35" s="585" t="s">
        <v>3264</v>
      </c>
      <c r="C35" s="585" t="s">
        <v>210</v>
      </c>
    </row>
    <row r="36" spans="1:3" x14ac:dyDescent="0.25">
      <c r="A36" s="585">
        <v>46</v>
      </c>
      <c r="B36" s="585" t="s">
        <v>3265</v>
      </c>
      <c r="C36" s="585" t="s">
        <v>325</v>
      </c>
    </row>
    <row r="37" spans="1:3" x14ac:dyDescent="0.25">
      <c r="A37" s="585">
        <v>47</v>
      </c>
      <c r="B37" s="585" t="s">
        <v>3266</v>
      </c>
      <c r="C37" s="585" t="s">
        <v>256</v>
      </c>
    </row>
    <row r="38" spans="1:3" x14ac:dyDescent="0.25">
      <c r="A38" s="585">
        <v>48</v>
      </c>
      <c r="B38" s="585" t="s">
        <v>840</v>
      </c>
      <c r="C38" s="585" t="s">
        <v>841</v>
      </c>
    </row>
    <row r="39" spans="1:3" x14ac:dyDescent="0.25">
      <c r="A39" s="585">
        <v>48</v>
      </c>
      <c r="B39" s="585" t="s">
        <v>842</v>
      </c>
      <c r="C39" s="585" t="s">
        <v>843</v>
      </c>
    </row>
    <row r="40" spans="1:3" x14ac:dyDescent="0.25">
      <c r="A40" s="585">
        <v>49</v>
      </c>
      <c r="B40" s="585"/>
      <c r="C40" s="585" t="s">
        <v>844</v>
      </c>
    </row>
    <row r="41" spans="1:3" x14ac:dyDescent="0.25">
      <c r="A41" s="585">
        <v>50</v>
      </c>
      <c r="B41" s="585"/>
      <c r="C41" s="585" t="s">
        <v>845</v>
      </c>
    </row>
    <row r="42" spans="1:3" x14ac:dyDescent="0.25">
      <c r="A42" s="585">
        <v>51</v>
      </c>
      <c r="B42" s="585" t="s">
        <v>274</v>
      </c>
      <c r="C42" s="585" t="s">
        <v>275</v>
      </c>
    </row>
    <row r="43" spans="1:3" x14ac:dyDescent="0.25">
      <c r="A43" s="585">
        <v>56</v>
      </c>
      <c r="B43" s="585" t="s">
        <v>3267</v>
      </c>
      <c r="C43" s="585" t="s">
        <v>3168</v>
      </c>
    </row>
    <row r="44" spans="1:3" x14ac:dyDescent="0.25">
      <c r="A44" s="585">
        <v>58</v>
      </c>
      <c r="B44" s="585"/>
      <c r="C44" s="585" t="s">
        <v>846</v>
      </c>
    </row>
    <row r="45" spans="1:3" x14ac:dyDescent="0.25">
      <c r="A45" s="585">
        <v>60</v>
      </c>
      <c r="B45" s="585" t="s">
        <v>847</v>
      </c>
      <c r="C45" s="585" t="s">
        <v>848</v>
      </c>
    </row>
    <row r="46" spans="1:3" x14ac:dyDescent="0.25">
      <c r="A46" s="585">
        <v>61</v>
      </c>
      <c r="B46" s="585"/>
      <c r="C46" s="585" t="s">
        <v>849</v>
      </c>
    </row>
    <row r="47" spans="1:3" x14ac:dyDescent="0.25">
      <c r="A47" s="585">
        <v>63</v>
      </c>
      <c r="B47" s="585" t="s">
        <v>3268</v>
      </c>
      <c r="C47" s="585" t="s">
        <v>269</v>
      </c>
    </row>
    <row r="48" spans="1:3" x14ac:dyDescent="0.25">
      <c r="A48" s="585">
        <v>64</v>
      </c>
      <c r="B48" s="585"/>
      <c r="C48" s="585" t="s">
        <v>850</v>
      </c>
    </row>
    <row r="49" spans="1:3" x14ac:dyDescent="0.25">
      <c r="A49" s="585">
        <v>66</v>
      </c>
      <c r="B49" s="585" t="s">
        <v>851</v>
      </c>
      <c r="C49" s="585" t="s">
        <v>851</v>
      </c>
    </row>
    <row r="50" spans="1:3" x14ac:dyDescent="0.25">
      <c r="A50" s="585">
        <v>68</v>
      </c>
      <c r="B50" s="585" t="s">
        <v>852</v>
      </c>
      <c r="C50" s="585" t="s">
        <v>852</v>
      </c>
    </row>
    <row r="51" spans="1:3" x14ac:dyDescent="0.25">
      <c r="A51" s="585">
        <v>69</v>
      </c>
      <c r="B51" s="585" t="s">
        <v>3269</v>
      </c>
      <c r="C51" s="585" t="s">
        <v>248</v>
      </c>
    </row>
    <row r="52" spans="1:3" x14ac:dyDescent="0.25">
      <c r="A52" s="585">
        <v>70</v>
      </c>
      <c r="B52" s="585" t="s">
        <v>3270</v>
      </c>
      <c r="C52" s="585" t="s">
        <v>249</v>
      </c>
    </row>
    <row r="53" spans="1:3" x14ac:dyDescent="0.25">
      <c r="A53" s="585">
        <v>71</v>
      </c>
      <c r="B53" s="585" t="s">
        <v>3271</v>
      </c>
      <c r="C53" s="585" t="s">
        <v>267</v>
      </c>
    </row>
    <row r="54" spans="1:3" x14ac:dyDescent="0.25">
      <c r="A54" s="585">
        <v>72</v>
      </c>
      <c r="B54" s="585" t="s">
        <v>3272</v>
      </c>
      <c r="C54" s="585" t="s">
        <v>250</v>
      </c>
    </row>
    <row r="55" spans="1:3" x14ac:dyDescent="0.25">
      <c r="A55" s="585">
        <v>73</v>
      </c>
      <c r="B55" s="585" t="s">
        <v>3273</v>
      </c>
      <c r="C55" s="585" t="s">
        <v>272</v>
      </c>
    </row>
    <row r="56" spans="1:3" x14ac:dyDescent="0.25">
      <c r="A56" s="585">
        <v>75</v>
      </c>
      <c r="B56" s="585" t="s">
        <v>251</v>
      </c>
      <c r="C56" s="585" t="s">
        <v>252</v>
      </c>
    </row>
    <row r="57" spans="1:3" x14ac:dyDescent="0.25">
      <c r="A57" s="585">
        <v>77</v>
      </c>
      <c r="B57" s="585" t="s">
        <v>853</v>
      </c>
      <c r="C57" s="585" t="s">
        <v>854</v>
      </c>
    </row>
    <row r="58" spans="1:3" x14ac:dyDescent="0.25">
      <c r="A58" s="585">
        <v>78</v>
      </c>
      <c r="B58" s="585" t="s">
        <v>855</v>
      </c>
      <c r="C58" s="585" t="s">
        <v>855</v>
      </c>
    </row>
    <row r="59" spans="1:3" x14ac:dyDescent="0.25">
      <c r="A59" s="585">
        <v>81</v>
      </c>
      <c r="B59" s="585"/>
      <c r="C59" s="585" t="s">
        <v>856</v>
      </c>
    </row>
    <row r="60" spans="1:3" x14ac:dyDescent="0.25">
      <c r="A60" s="585">
        <v>82</v>
      </c>
      <c r="B60" s="585" t="s">
        <v>3274</v>
      </c>
      <c r="C60" s="585" t="s">
        <v>254</v>
      </c>
    </row>
    <row r="61" spans="1:3" x14ac:dyDescent="0.25">
      <c r="A61" s="585">
        <v>83</v>
      </c>
      <c r="B61" s="585" t="s">
        <v>3275</v>
      </c>
      <c r="C61" s="585" t="s">
        <v>313</v>
      </c>
    </row>
    <row r="62" spans="1:3" x14ac:dyDescent="0.25">
      <c r="A62" s="585">
        <v>84</v>
      </c>
      <c r="B62" s="585" t="s">
        <v>242</v>
      </c>
      <c r="C62" s="585" t="s">
        <v>243</v>
      </c>
    </row>
    <row r="63" spans="1:3" x14ac:dyDescent="0.25">
      <c r="A63" s="585">
        <v>86</v>
      </c>
      <c r="B63" s="585" t="s">
        <v>3276</v>
      </c>
      <c r="C63" s="585" t="s">
        <v>286</v>
      </c>
    </row>
    <row r="64" spans="1:3" x14ac:dyDescent="0.25">
      <c r="A64" s="585">
        <v>87</v>
      </c>
      <c r="B64" s="585" t="s">
        <v>3277</v>
      </c>
      <c r="C64" s="585" t="s">
        <v>317</v>
      </c>
    </row>
    <row r="65" spans="1:3" x14ac:dyDescent="0.25">
      <c r="A65" s="585">
        <v>88</v>
      </c>
      <c r="B65" s="585" t="s">
        <v>283</v>
      </c>
      <c r="C65" s="585" t="s">
        <v>284</v>
      </c>
    </row>
    <row r="66" spans="1:3" x14ac:dyDescent="0.25">
      <c r="A66" s="585">
        <v>89</v>
      </c>
      <c r="B66" s="585" t="s">
        <v>857</v>
      </c>
      <c r="C66" s="585" t="s">
        <v>857</v>
      </c>
    </row>
    <row r="67" spans="1:3" x14ac:dyDescent="0.25">
      <c r="A67" s="585">
        <v>95</v>
      </c>
      <c r="B67" s="585" t="s">
        <v>3278</v>
      </c>
      <c r="C67" s="585" t="s">
        <v>273</v>
      </c>
    </row>
    <row r="68" spans="1:3" x14ac:dyDescent="0.25">
      <c r="A68" s="585">
        <v>97</v>
      </c>
      <c r="B68" s="585"/>
      <c r="C68" s="585" t="s">
        <v>858</v>
      </c>
    </row>
    <row r="69" spans="1:3" x14ac:dyDescent="0.25">
      <c r="A69" s="585">
        <v>103</v>
      </c>
      <c r="B69" s="585" t="s">
        <v>3279</v>
      </c>
      <c r="C69" s="585" t="s">
        <v>247</v>
      </c>
    </row>
    <row r="70" spans="1:3" x14ac:dyDescent="0.25">
      <c r="A70" s="585">
        <v>104</v>
      </c>
      <c r="B70" s="585" t="s">
        <v>859</v>
      </c>
      <c r="C70" s="585" t="s">
        <v>860</v>
      </c>
    </row>
    <row r="71" spans="1:3" x14ac:dyDescent="0.25">
      <c r="A71" s="585">
        <v>105</v>
      </c>
      <c r="B71" s="585"/>
      <c r="C71" s="585" t="s">
        <v>861</v>
      </c>
    </row>
    <row r="72" spans="1:3" x14ac:dyDescent="0.25">
      <c r="A72" s="585">
        <v>109</v>
      </c>
      <c r="B72" s="585" t="s">
        <v>862</v>
      </c>
      <c r="C72" s="585" t="s">
        <v>862</v>
      </c>
    </row>
    <row r="73" spans="1:3" x14ac:dyDescent="0.25">
      <c r="A73" s="585">
        <v>110</v>
      </c>
      <c r="B73" s="585"/>
      <c r="C73" s="585" t="s">
        <v>863</v>
      </c>
    </row>
    <row r="74" spans="1:3" x14ac:dyDescent="0.25">
      <c r="A74" s="585">
        <v>112</v>
      </c>
      <c r="B74" s="585"/>
      <c r="C74" s="585" t="s">
        <v>864</v>
      </c>
    </row>
    <row r="75" spans="1:3" x14ac:dyDescent="0.25">
      <c r="A75" s="585">
        <v>116</v>
      </c>
      <c r="B75" s="585" t="s">
        <v>865</v>
      </c>
      <c r="C75" s="585" t="s">
        <v>866</v>
      </c>
    </row>
    <row r="76" spans="1:3" x14ac:dyDescent="0.25">
      <c r="A76" s="585">
        <v>122</v>
      </c>
      <c r="B76" s="585" t="s">
        <v>867</v>
      </c>
      <c r="C76" s="585" t="s">
        <v>867</v>
      </c>
    </row>
    <row r="77" spans="1:3" x14ac:dyDescent="0.25">
      <c r="A77" s="585">
        <v>123</v>
      </c>
      <c r="B77" s="585"/>
      <c r="C77" s="585" t="s">
        <v>868</v>
      </c>
    </row>
    <row r="78" spans="1:3" x14ac:dyDescent="0.25">
      <c r="A78" s="585">
        <v>124</v>
      </c>
      <c r="B78" s="585" t="s">
        <v>869</v>
      </c>
      <c r="C78" s="585" t="s">
        <v>869</v>
      </c>
    </row>
    <row r="79" spans="1:3" x14ac:dyDescent="0.25">
      <c r="A79" s="585">
        <v>125</v>
      </c>
      <c r="B79" s="585"/>
      <c r="C79" s="585" t="s">
        <v>870</v>
      </c>
    </row>
    <row r="80" spans="1:3" x14ac:dyDescent="0.25">
      <c r="A80" s="585">
        <v>126</v>
      </c>
      <c r="B80" s="585"/>
      <c r="C80" s="585" t="s">
        <v>871</v>
      </c>
    </row>
    <row r="81" spans="1:3" x14ac:dyDescent="0.25">
      <c r="A81" s="585">
        <v>127</v>
      </c>
      <c r="B81" s="585" t="s">
        <v>872</v>
      </c>
      <c r="C81" s="585" t="s">
        <v>873</v>
      </c>
    </row>
    <row r="82" spans="1:3" x14ac:dyDescent="0.25">
      <c r="A82" s="585">
        <v>135</v>
      </c>
      <c r="B82" s="585"/>
      <c r="C82" s="585" t="s">
        <v>874</v>
      </c>
    </row>
    <row r="83" spans="1:3" x14ac:dyDescent="0.25">
      <c r="A83" s="585">
        <v>136</v>
      </c>
      <c r="B83" s="585"/>
      <c r="C83" s="585" t="s">
        <v>875</v>
      </c>
    </row>
    <row r="84" spans="1:3" x14ac:dyDescent="0.25">
      <c r="A84" s="585">
        <v>137</v>
      </c>
      <c r="B84" s="585" t="s">
        <v>876</v>
      </c>
      <c r="C84" s="585" t="s">
        <v>876</v>
      </c>
    </row>
    <row r="85" spans="1:3" x14ac:dyDescent="0.25">
      <c r="A85" s="585">
        <v>140</v>
      </c>
      <c r="B85" s="585" t="s">
        <v>877</v>
      </c>
      <c r="C85" s="585" t="s">
        <v>878</v>
      </c>
    </row>
    <row r="86" spans="1:3" x14ac:dyDescent="0.25">
      <c r="A86" s="585">
        <v>141</v>
      </c>
      <c r="B86" s="585" t="s">
        <v>878</v>
      </c>
      <c r="C86" s="585" t="s">
        <v>878</v>
      </c>
    </row>
    <row r="87" spans="1:3" x14ac:dyDescent="0.25">
      <c r="A87" s="585">
        <v>142</v>
      </c>
      <c r="B87" s="585"/>
      <c r="C87" s="585" t="s">
        <v>879</v>
      </c>
    </row>
    <row r="88" spans="1:3" x14ac:dyDescent="0.25">
      <c r="A88" s="585">
        <v>146</v>
      </c>
      <c r="B88" s="585"/>
      <c r="C88" s="585" t="s">
        <v>880</v>
      </c>
    </row>
    <row r="89" spans="1:3" x14ac:dyDescent="0.25">
      <c r="A89" s="585">
        <v>147</v>
      </c>
      <c r="B89" s="585"/>
      <c r="C89" s="585" t="s">
        <v>881</v>
      </c>
    </row>
    <row r="90" spans="1:3" x14ac:dyDescent="0.25">
      <c r="A90" s="585">
        <v>151</v>
      </c>
      <c r="B90" s="585"/>
      <c r="C90" s="585" t="s">
        <v>882</v>
      </c>
    </row>
    <row r="91" spans="1:3" x14ac:dyDescent="0.25">
      <c r="A91" s="585">
        <v>152</v>
      </c>
      <c r="B91" s="585"/>
      <c r="C91" s="585" t="s">
        <v>883</v>
      </c>
    </row>
    <row r="92" spans="1:3" x14ac:dyDescent="0.25">
      <c r="A92" s="585">
        <v>161</v>
      </c>
      <c r="B92" s="585" t="s">
        <v>884</v>
      </c>
      <c r="C92" s="585" t="s">
        <v>884</v>
      </c>
    </row>
    <row r="93" spans="1:3" x14ac:dyDescent="0.25">
      <c r="A93" s="585">
        <v>165</v>
      </c>
      <c r="B93" s="585"/>
      <c r="C93" s="585" t="s">
        <v>885</v>
      </c>
    </row>
    <row r="94" spans="1:3" x14ac:dyDescent="0.25">
      <c r="A94" s="585">
        <v>171</v>
      </c>
      <c r="B94" s="585"/>
      <c r="C94" s="585" t="s">
        <v>886</v>
      </c>
    </row>
    <row r="95" spans="1:3" x14ac:dyDescent="0.25">
      <c r="A95" s="585">
        <v>175</v>
      </c>
      <c r="B95" s="585"/>
      <c r="C95" s="585" t="s">
        <v>887</v>
      </c>
    </row>
    <row r="96" spans="1:3" x14ac:dyDescent="0.25">
      <c r="A96" s="585">
        <v>177</v>
      </c>
      <c r="B96" s="585"/>
      <c r="C96" s="585" t="s">
        <v>888</v>
      </c>
    </row>
    <row r="97" spans="1:3" x14ac:dyDescent="0.25">
      <c r="A97" s="585">
        <v>178</v>
      </c>
      <c r="B97" s="585"/>
      <c r="C97" s="585" t="s">
        <v>889</v>
      </c>
    </row>
    <row r="98" spans="1:3" x14ac:dyDescent="0.25">
      <c r="A98" s="585">
        <v>179</v>
      </c>
      <c r="B98" s="585"/>
      <c r="C98" s="585" t="s">
        <v>890</v>
      </c>
    </row>
    <row r="99" spans="1:3" x14ac:dyDescent="0.25">
      <c r="A99" s="585">
        <v>180</v>
      </c>
      <c r="B99" s="585"/>
      <c r="C99" s="585" t="s">
        <v>891</v>
      </c>
    </row>
    <row r="100" spans="1:3" x14ac:dyDescent="0.25">
      <c r="A100" s="585">
        <v>182</v>
      </c>
      <c r="B100" s="585" t="s">
        <v>892</v>
      </c>
      <c r="C100" s="585" t="s">
        <v>893</v>
      </c>
    </row>
    <row r="101" spans="1:3" x14ac:dyDescent="0.25">
      <c r="A101" s="585">
        <v>184</v>
      </c>
      <c r="B101" s="585" t="s">
        <v>894</v>
      </c>
      <c r="C101" s="585" t="s">
        <v>894</v>
      </c>
    </row>
    <row r="102" spans="1:3" x14ac:dyDescent="0.25">
      <c r="A102" s="585">
        <v>187</v>
      </c>
      <c r="B102" s="585" t="s">
        <v>895</v>
      </c>
      <c r="C102" s="585" t="s">
        <v>896</v>
      </c>
    </row>
    <row r="103" spans="1:3" x14ac:dyDescent="0.25">
      <c r="A103" s="585">
        <v>189</v>
      </c>
      <c r="B103" s="585"/>
      <c r="C103" s="585" t="s">
        <v>897</v>
      </c>
    </row>
    <row r="104" spans="1:3" x14ac:dyDescent="0.25">
      <c r="A104" s="585">
        <v>190</v>
      </c>
      <c r="B104" s="585"/>
      <c r="C104" s="585" t="s">
        <v>898</v>
      </c>
    </row>
    <row r="105" spans="1:3" x14ac:dyDescent="0.25">
      <c r="A105" s="585">
        <v>192</v>
      </c>
      <c r="B105" s="585"/>
      <c r="C105" s="585" t="s">
        <v>899</v>
      </c>
    </row>
    <row r="106" spans="1:3" x14ac:dyDescent="0.25">
      <c r="A106" s="585">
        <v>193</v>
      </c>
      <c r="B106" s="585"/>
      <c r="C106" s="585" t="s">
        <v>900</v>
      </c>
    </row>
    <row r="107" spans="1:3" x14ac:dyDescent="0.25">
      <c r="A107" s="585">
        <v>194</v>
      </c>
      <c r="B107" s="585"/>
      <c r="C107" s="585" t="s">
        <v>901</v>
      </c>
    </row>
    <row r="108" spans="1:3" x14ac:dyDescent="0.25">
      <c r="A108" s="585">
        <v>198</v>
      </c>
      <c r="B108" s="585"/>
      <c r="C108" s="585" t="s">
        <v>902</v>
      </c>
    </row>
    <row r="109" spans="1:3" x14ac:dyDescent="0.25">
      <c r="A109" s="585">
        <v>200</v>
      </c>
      <c r="B109" s="585"/>
      <c r="C109" s="585" t="s">
        <v>903</v>
      </c>
    </row>
    <row r="110" spans="1:3" x14ac:dyDescent="0.25">
      <c r="A110" s="585">
        <v>201</v>
      </c>
      <c r="B110" s="585"/>
      <c r="C110" s="585" t="s">
        <v>904</v>
      </c>
    </row>
    <row r="111" spans="1:3" x14ac:dyDescent="0.25">
      <c r="A111" s="585">
        <v>202</v>
      </c>
      <c r="B111" s="585"/>
      <c r="C111" s="585" t="s">
        <v>905</v>
      </c>
    </row>
    <row r="112" spans="1:3" x14ac:dyDescent="0.25">
      <c r="A112" s="585">
        <v>203</v>
      </c>
      <c r="B112" s="585" t="s">
        <v>906</v>
      </c>
      <c r="C112" s="585" t="s">
        <v>907</v>
      </c>
    </row>
    <row r="113" spans="1:3" x14ac:dyDescent="0.25">
      <c r="A113" s="585">
        <v>205</v>
      </c>
      <c r="B113" s="585"/>
      <c r="C113" s="585" t="s">
        <v>908</v>
      </c>
    </row>
    <row r="114" spans="1:3" x14ac:dyDescent="0.25">
      <c r="A114" s="585">
        <v>207</v>
      </c>
      <c r="B114" s="585" t="s">
        <v>909</v>
      </c>
      <c r="C114" s="585" t="s">
        <v>910</v>
      </c>
    </row>
    <row r="115" spans="1:3" x14ac:dyDescent="0.25">
      <c r="A115" s="585">
        <v>208</v>
      </c>
      <c r="B115" s="585" t="s">
        <v>911</v>
      </c>
      <c r="C115" s="585" t="s">
        <v>912</v>
      </c>
    </row>
    <row r="116" spans="1:3" x14ac:dyDescent="0.25">
      <c r="A116" s="585">
        <v>213</v>
      </c>
      <c r="B116" s="585" t="s">
        <v>3280</v>
      </c>
      <c r="C116" s="585" t="s">
        <v>913</v>
      </c>
    </row>
    <row r="117" spans="1:3" x14ac:dyDescent="0.25">
      <c r="A117" s="585">
        <v>215</v>
      </c>
      <c r="B117" s="585" t="s">
        <v>914</v>
      </c>
      <c r="C117" s="585" t="s">
        <v>915</v>
      </c>
    </row>
    <row r="118" spans="1:3" x14ac:dyDescent="0.25">
      <c r="A118" s="585">
        <v>218</v>
      </c>
      <c r="B118" s="585"/>
      <c r="C118" s="585" t="s">
        <v>916</v>
      </c>
    </row>
    <row r="119" spans="1:3" x14ac:dyDescent="0.25">
      <c r="A119" s="585">
        <v>227</v>
      </c>
      <c r="B119" s="585" t="s">
        <v>917</v>
      </c>
      <c r="C119" s="585" t="s">
        <v>917</v>
      </c>
    </row>
    <row r="120" spans="1:3" x14ac:dyDescent="0.25">
      <c r="A120" s="585">
        <v>233</v>
      </c>
      <c r="B120" s="585" t="s">
        <v>918</v>
      </c>
      <c r="C120" s="585" t="s">
        <v>919</v>
      </c>
    </row>
    <row r="121" spans="1:3" x14ac:dyDescent="0.25">
      <c r="A121" s="585">
        <v>248</v>
      </c>
      <c r="B121" s="585"/>
      <c r="C121" s="585" t="s">
        <v>920</v>
      </c>
    </row>
    <row r="122" spans="1:3" x14ac:dyDescent="0.25">
      <c r="A122" s="585">
        <v>261</v>
      </c>
      <c r="B122" s="585" t="s">
        <v>921</v>
      </c>
      <c r="C122" s="585" t="s">
        <v>921</v>
      </c>
    </row>
    <row r="123" spans="1:3" x14ac:dyDescent="0.25">
      <c r="A123" s="585">
        <v>262</v>
      </c>
      <c r="B123" s="585" t="s">
        <v>922</v>
      </c>
      <c r="C123" s="585" t="s">
        <v>923</v>
      </c>
    </row>
    <row r="124" spans="1:3" x14ac:dyDescent="0.25">
      <c r="A124" s="585">
        <v>273</v>
      </c>
      <c r="B124" s="585" t="s">
        <v>924</v>
      </c>
      <c r="C124" s="585" t="s">
        <v>925</v>
      </c>
    </row>
    <row r="125" spans="1:3" x14ac:dyDescent="0.25">
      <c r="A125" s="585">
        <v>291</v>
      </c>
      <c r="B125" s="585" t="s">
        <v>926</v>
      </c>
      <c r="C125" s="585" t="s">
        <v>927</v>
      </c>
    </row>
    <row r="126" spans="1:3" x14ac:dyDescent="0.25">
      <c r="A126" s="585">
        <v>302</v>
      </c>
      <c r="B126" s="585" t="s">
        <v>928</v>
      </c>
      <c r="C126" s="585" t="s">
        <v>928</v>
      </c>
    </row>
    <row r="127" spans="1:3" x14ac:dyDescent="0.25">
      <c r="A127" s="585">
        <v>315</v>
      </c>
      <c r="B127" s="585"/>
      <c r="C127" s="585" t="s">
        <v>929</v>
      </c>
    </row>
    <row r="128" spans="1:3" x14ac:dyDescent="0.25">
      <c r="A128" s="585">
        <v>318</v>
      </c>
      <c r="B128" s="585"/>
      <c r="C128" s="585" t="s">
        <v>930</v>
      </c>
    </row>
    <row r="129" spans="1:3" x14ac:dyDescent="0.25">
      <c r="A129" s="585">
        <v>324</v>
      </c>
      <c r="B129" s="585" t="s">
        <v>931</v>
      </c>
      <c r="C129" s="585" t="s">
        <v>932</v>
      </c>
    </row>
    <row r="130" spans="1:3" x14ac:dyDescent="0.25">
      <c r="A130" s="585">
        <v>336</v>
      </c>
      <c r="B130" s="585" t="s">
        <v>933</v>
      </c>
      <c r="C130" s="585" t="s">
        <v>933</v>
      </c>
    </row>
    <row r="131" spans="1:3" x14ac:dyDescent="0.25">
      <c r="A131" s="585">
        <v>345</v>
      </c>
      <c r="B131" s="585" t="s">
        <v>934</v>
      </c>
      <c r="C131" s="585" t="s">
        <v>935</v>
      </c>
    </row>
    <row r="132" spans="1:3" x14ac:dyDescent="0.25">
      <c r="A132" s="585">
        <v>369</v>
      </c>
      <c r="B132" s="585" t="s">
        <v>3281</v>
      </c>
      <c r="C132" s="585" t="s">
        <v>238</v>
      </c>
    </row>
    <row r="133" spans="1:3" x14ac:dyDescent="0.25">
      <c r="A133" s="585">
        <v>370</v>
      </c>
      <c r="B133" s="585" t="s">
        <v>2715</v>
      </c>
      <c r="C133" s="585" t="s">
        <v>202</v>
      </c>
    </row>
    <row r="134" spans="1:3" x14ac:dyDescent="0.25">
      <c r="A134" s="585">
        <v>371</v>
      </c>
      <c r="B134" s="585" t="s">
        <v>3282</v>
      </c>
      <c r="C134" s="585" t="s">
        <v>220</v>
      </c>
    </row>
    <row r="135" spans="1:3" x14ac:dyDescent="0.25">
      <c r="A135" s="585">
        <v>372</v>
      </c>
      <c r="B135" s="585" t="s">
        <v>936</v>
      </c>
      <c r="C135" s="585" t="s">
        <v>937</v>
      </c>
    </row>
    <row r="136" spans="1:3" x14ac:dyDescent="0.25">
      <c r="A136" s="585">
        <v>373</v>
      </c>
      <c r="B136" s="585"/>
      <c r="C136" s="585" t="s">
        <v>938</v>
      </c>
    </row>
    <row r="137" spans="1:3" x14ac:dyDescent="0.25">
      <c r="A137" s="585">
        <v>376</v>
      </c>
      <c r="B137" s="585"/>
      <c r="C137" s="585" t="s">
        <v>939</v>
      </c>
    </row>
    <row r="138" spans="1:3" x14ac:dyDescent="0.25">
      <c r="A138" s="585">
        <v>377</v>
      </c>
      <c r="B138" s="585"/>
      <c r="C138" s="585" t="s">
        <v>940</v>
      </c>
    </row>
    <row r="139" spans="1:3" x14ac:dyDescent="0.25">
      <c r="A139" s="585">
        <v>380</v>
      </c>
      <c r="B139" s="585" t="s">
        <v>3283</v>
      </c>
      <c r="C139" s="585" t="s">
        <v>308</v>
      </c>
    </row>
    <row r="140" spans="1:3" x14ac:dyDescent="0.25">
      <c r="A140" s="585">
        <v>381</v>
      </c>
      <c r="B140" s="585" t="s">
        <v>296</v>
      </c>
      <c r="C140" s="585" t="s">
        <v>297</v>
      </c>
    </row>
    <row r="141" spans="1:3" x14ac:dyDescent="0.25">
      <c r="A141" s="585">
        <v>382</v>
      </c>
      <c r="B141" s="585" t="s">
        <v>3284</v>
      </c>
      <c r="C141" s="585" t="s">
        <v>319</v>
      </c>
    </row>
    <row r="142" spans="1:3" x14ac:dyDescent="0.25">
      <c r="A142" s="585">
        <v>383</v>
      </c>
      <c r="B142" s="585" t="s">
        <v>3285</v>
      </c>
      <c r="C142" s="585" t="s">
        <v>196</v>
      </c>
    </row>
    <row r="143" spans="1:3" x14ac:dyDescent="0.25">
      <c r="A143" s="585">
        <v>384</v>
      </c>
      <c r="B143" s="585"/>
      <c r="C143" s="585" t="s">
        <v>941</v>
      </c>
    </row>
    <row r="144" spans="1:3" x14ac:dyDescent="0.25">
      <c r="A144" s="585">
        <v>385</v>
      </c>
      <c r="B144" s="585" t="s">
        <v>3286</v>
      </c>
      <c r="C144" s="585" t="s">
        <v>288</v>
      </c>
    </row>
    <row r="145" spans="1:3" x14ac:dyDescent="0.25">
      <c r="A145" s="585">
        <v>386</v>
      </c>
      <c r="B145" s="585" t="s">
        <v>281</v>
      </c>
      <c r="C145" s="585" t="s">
        <v>282</v>
      </c>
    </row>
    <row r="146" spans="1:3" x14ac:dyDescent="0.25">
      <c r="A146" s="585">
        <v>387</v>
      </c>
      <c r="B146" s="585"/>
      <c r="C146" s="585" t="s">
        <v>942</v>
      </c>
    </row>
    <row r="147" spans="1:3" x14ac:dyDescent="0.25">
      <c r="A147" s="585">
        <v>388</v>
      </c>
      <c r="B147" s="585"/>
      <c r="C147" s="585" t="s">
        <v>943</v>
      </c>
    </row>
    <row r="148" spans="1:3" x14ac:dyDescent="0.25">
      <c r="A148" s="585">
        <v>389</v>
      </c>
      <c r="B148" s="585"/>
      <c r="C148" s="585" t="s">
        <v>944</v>
      </c>
    </row>
    <row r="149" spans="1:3" x14ac:dyDescent="0.25">
      <c r="A149" s="585">
        <v>390</v>
      </c>
      <c r="B149" s="585" t="s">
        <v>3287</v>
      </c>
      <c r="C149" s="585" t="s">
        <v>295</v>
      </c>
    </row>
    <row r="150" spans="1:3" x14ac:dyDescent="0.25">
      <c r="A150" s="585">
        <v>391</v>
      </c>
      <c r="B150" s="585" t="s">
        <v>2287</v>
      </c>
      <c r="C150" s="585" t="s">
        <v>199</v>
      </c>
    </row>
    <row r="151" spans="1:3" x14ac:dyDescent="0.25">
      <c r="A151" s="585">
        <v>393</v>
      </c>
      <c r="B151" s="585"/>
      <c r="C151" s="585" t="s">
        <v>945</v>
      </c>
    </row>
    <row r="152" spans="1:3" x14ac:dyDescent="0.25">
      <c r="A152" s="585">
        <v>394</v>
      </c>
      <c r="B152" s="585" t="s">
        <v>946</v>
      </c>
      <c r="C152" s="585" t="s">
        <v>947</v>
      </c>
    </row>
    <row r="153" spans="1:3" x14ac:dyDescent="0.25">
      <c r="A153" s="585">
        <v>395</v>
      </c>
      <c r="B153" s="585"/>
      <c r="C153" s="585" t="s">
        <v>948</v>
      </c>
    </row>
    <row r="154" spans="1:3" x14ac:dyDescent="0.25">
      <c r="A154" s="585">
        <v>396</v>
      </c>
      <c r="B154" s="585" t="s">
        <v>3288</v>
      </c>
      <c r="C154" s="585" t="s">
        <v>189</v>
      </c>
    </row>
    <row r="155" spans="1:3" x14ac:dyDescent="0.25">
      <c r="A155" s="585">
        <v>397</v>
      </c>
      <c r="B155" s="585" t="s">
        <v>322</v>
      </c>
      <c r="C155" s="585" t="s">
        <v>323</v>
      </c>
    </row>
    <row r="156" spans="1:3" x14ac:dyDescent="0.25">
      <c r="A156" s="585">
        <v>398</v>
      </c>
      <c r="B156" s="585" t="s">
        <v>3289</v>
      </c>
      <c r="C156" s="585" t="s">
        <v>293</v>
      </c>
    </row>
    <row r="157" spans="1:3" x14ac:dyDescent="0.25">
      <c r="A157" s="585">
        <v>399</v>
      </c>
      <c r="B157" s="585" t="s">
        <v>3290</v>
      </c>
      <c r="C157" s="585" t="s">
        <v>315</v>
      </c>
    </row>
    <row r="158" spans="1:3" x14ac:dyDescent="0.25">
      <c r="A158" s="585">
        <v>400</v>
      </c>
      <c r="B158" s="585" t="s">
        <v>3291</v>
      </c>
      <c r="C158" s="585" t="s">
        <v>327</v>
      </c>
    </row>
    <row r="159" spans="1:3" x14ac:dyDescent="0.25">
      <c r="A159" s="585">
        <v>401</v>
      </c>
      <c r="B159" s="585" t="s">
        <v>3292</v>
      </c>
      <c r="C159" s="585" t="s">
        <v>321</v>
      </c>
    </row>
    <row r="160" spans="1:3" x14ac:dyDescent="0.25">
      <c r="A160" s="585">
        <v>402</v>
      </c>
      <c r="B160" s="585"/>
      <c r="C160" s="585" t="s">
        <v>949</v>
      </c>
    </row>
    <row r="161" spans="1:3" x14ac:dyDescent="0.25">
      <c r="A161" s="585">
        <v>403</v>
      </c>
      <c r="B161" s="585"/>
      <c r="C161" s="585" t="s">
        <v>950</v>
      </c>
    </row>
    <row r="162" spans="1:3" x14ac:dyDescent="0.25">
      <c r="A162" s="585">
        <v>404</v>
      </c>
      <c r="B162" s="585" t="s">
        <v>3191</v>
      </c>
      <c r="C162" s="585" t="s">
        <v>301</v>
      </c>
    </row>
    <row r="163" spans="1:3" x14ac:dyDescent="0.25">
      <c r="A163" s="585">
        <v>405</v>
      </c>
      <c r="B163" s="585" t="s">
        <v>3151</v>
      </c>
      <c r="C163" s="585" t="s">
        <v>230</v>
      </c>
    </row>
    <row r="164" spans="1:3" x14ac:dyDescent="0.25">
      <c r="A164" s="585">
        <v>406</v>
      </c>
      <c r="B164" s="585"/>
      <c r="C164" s="585" t="s">
        <v>951</v>
      </c>
    </row>
    <row r="165" spans="1:3" x14ac:dyDescent="0.25">
      <c r="A165" s="585">
        <v>407</v>
      </c>
      <c r="B165" s="585"/>
      <c r="C165" s="585" t="s">
        <v>952</v>
      </c>
    </row>
    <row r="166" spans="1:3" x14ac:dyDescent="0.25">
      <c r="A166" s="585">
        <v>416</v>
      </c>
      <c r="B166" s="585"/>
      <c r="C166" s="585" t="s">
        <v>953</v>
      </c>
    </row>
    <row r="167" spans="1:3" x14ac:dyDescent="0.25">
      <c r="A167" s="585">
        <v>417</v>
      </c>
      <c r="B167" s="585"/>
      <c r="C167" s="585" t="s">
        <v>954</v>
      </c>
    </row>
    <row r="168" spans="1:3" x14ac:dyDescent="0.25">
      <c r="A168" s="585">
        <v>438</v>
      </c>
      <c r="B168" s="585"/>
      <c r="C168" s="585" t="s">
        <v>955</v>
      </c>
    </row>
    <row r="169" spans="1:3" x14ac:dyDescent="0.25">
      <c r="A169" s="585">
        <v>452</v>
      </c>
      <c r="B169" s="585"/>
      <c r="C169" s="585" t="s">
        <v>956</v>
      </c>
    </row>
    <row r="170" spans="1:3" x14ac:dyDescent="0.25">
      <c r="A170" s="585">
        <v>453</v>
      </c>
      <c r="B170" s="585"/>
      <c r="C170" s="585" t="s">
        <v>957</v>
      </c>
    </row>
    <row r="171" spans="1:3" x14ac:dyDescent="0.25">
      <c r="A171" s="585">
        <v>473</v>
      </c>
      <c r="B171" s="585" t="s">
        <v>958</v>
      </c>
      <c r="C171" s="585" t="s">
        <v>959</v>
      </c>
    </row>
    <row r="172" spans="1:3" x14ac:dyDescent="0.25">
      <c r="A172" s="585">
        <v>481</v>
      </c>
      <c r="B172" s="585"/>
      <c r="C172" s="585" t="s">
        <v>960</v>
      </c>
    </row>
    <row r="173" spans="1:3" x14ac:dyDescent="0.25">
      <c r="A173" s="585">
        <v>484</v>
      </c>
      <c r="B173" s="585"/>
      <c r="C173" s="585" t="s">
        <v>961</v>
      </c>
    </row>
    <row r="174" spans="1:3" x14ac:dyDescent="0.25">
      <c r="A174" s="585">
        <v>486</v>
      </c>
      <c r="B174" s="585"/>
      <c r="C174" s="585" t="s">
        <v>962</v>
      </c>
    </row>
    <row r="175" spans="1:3" x14ac:dyDescent="0.25">
      <c r="A175" s="585">
        <v>491</v>
      </c>
      <c r="B175" s="585"/>
      <c r="C175" s="585" t="s">
        <v>963</v>
      </c>
    </row>
    <row r="176" spans="1:3" x14ac:dyDescent="0.25">
      <c r="A176" s="585">
        <v>493</v>
      </c>
      <c r="B176" s="585"/>
      <c r="C176" s="585" t="s">
        <v>964</v>
      </c>
    </row>
    <row r="177" spans="1:3" x14ac:dyDescent="0.25">
      <c r="A177" s="585">
        <v>495</v>
      </c>
      <c r="B177" s="585"/>
      <c r="C177" s="585" t="s">
        <v>965</v>
      </c>
    </row>
    <row r="178" spans="1:3" x14ac:dyDescent="0.25">
      <c r="A178" s="585">
        <v>496</v>
      </c>
      <c r="B178" s="585"/>
      <c r="C178" s="585" t="s">
        <v>966</v>
      </c>
    </row>
    <row r="179" spans="1:3" x14ac:dyDescent="0.25">
      <c r="A179" s="585">
        <v>497</v>
      </c>
      <c r="B179" s="585"/>
      <c r="C179" s="585" t="s">
        <v>967</v>
      </c>
    </row>
    <row r="180" spans="1:3" x14ac:dyDescent="0.25">
      <c r="A180" s="585">
        <v>503</v>
      </c>
      <c r="B180" s="585"/>
      <c r="C180" s="585" t="s">
        <v>968</v>
      </c>
    </row>
    <row r="181" spans="1:3" x14ac:dyDescent="0.25">
      <c r="A181" s="585">
        <v>505</v>
      </c>
      <c r="B181" s="585" t="s">
        <v>969</v>
      </c>
      <c r="C181" s="585" t="s">
        <v>970</v>
      </c>
    </row>
    <row r="182" spans="1:3" x14ac:dyDescent="0.25">
      <c r="A182" s="585">
        <v>507</v>
      </c>
      <c r="B182" s="585"/>
      <c r="C182" s="585" t="s">
        <v>971</v>
      </c>
    </row>
    <row r="183" spans="1:3" x14ac:dyDescent="0.25">
      <c r="A183" s="585">
        <v>508</v>
      </c>
      <c r="B183" s="585"/>
      <c r="C183" s="585" t="s">
        <v>972</v>
      </c>
    </row>
    <row r="184" spans="1:3" x14ac:dyDescent="0.25">
      <c r="A184" s="585">
        <v>509</v>
      </c>
      <c r="B184" s="585"/>
      <c r="C184" s="585" t="s">
        <v>973</v>
      </c>
    </row>
    <row r="185" spans="1:3" x14ac:dyDescent="0.25">
      <c r="A185" s="585">
        <v>511</v>
      </c>
      <c r="B185" s="585"/>
      <c r="C185" s="585" t="s">
        <v>974</v>
      </c>
    </row>
    <row r="186" spans="1:3" x14ac:dyDescent="0.25">
      <c r="A186" s="585">
        <v>513</v>
      </c>
      <c r="B186" s="585"/>
      <c r="C186" s="585" t="s">
        <v>975</v>
      </c>
    </row>
    <row r="187" spans="1:3" x14ac:dyDescent="0.25">
      <c r="A187" s="585">
        <v>515</v>
      </c>
      <c r="B187" s="585"/>
      <c r="C187" s="585" t="s">
        <v>976</v>
      </c>
    </row>
    <row r="188" spans="1:3" x14ac:dyDescent="0.25">
      <c r="A188" s="585">
        <v>518</v>
      </c>
      <c r="B188" s="585"/>
      <c r="C188" s="585" t="s">
        <v>977</v>
      </c>
    </row>
    <row r="189" spans="1:3" x14ac:dyDescent="0.25">
      <c r="A189" s="585">
        <v>521</v>
      </c>
      <c r="B189" s="585"/>
      <c r="C189" s="585" t="s">
        <v>978</v>
      </c>
    </row>
    <row r="190" spans="1:3" x14ac:dyDescent="0.25">
      <c r="A190" s="585">
        <v>524</v>
      </c>
      <c r="B190" s="585"/>
      <c r="C190" s="585" t="s">
        <v>979</v>
      </c>
    </row>
    <row r="191" spans="1:3" x14ac:dyDescent="0.25">
      <c r="A191" s="585">
        <v>526</v>
      </c>
      <c r="B191" s="585"/>
      <c r="C191" s="585" t="s">
        <v>980</v>
      </c>
    </row>
    <row r="192" spans="1:3" x14ac:dyDescent="0.25">
      <c r="A192" s="585">
        <v>528</v>
      </c>
      <c r="B192" s="585" t="s">
        <v>981</v>
      </c>
      <c r="C192" s="585" t="s">
        <v>982</v>
      </c>
    </row>
    <row r="193" spans="1:3" x14ac:dyDescent="0.25">
      <c r="A193" s="585">
        <v>529</v>
      </c>
      <c r="B193" s="585"/>
      <c r="C193" s="585" t="s">
        <v>983</v>
      </c>
    </row>
    <row r="194" spans="1:3" x14ac:dyDescent="0.25">
      <c r="A194" s="585">
        <v>530</v>
      </c>
      <c r="B194" s="585"/>
      <c r="C194" s="585" t="s">
        <v>984</v>
      </c>
    </row>
    <row r="195" spans="1:3" x14ac:dyDescent="0.25">
      <c r="A195" s="585">
        <v>533</v>
      </c>
      <c r="B195" s="585"/>
      <c r="C195" s="585" t="s">
        <v>985</v>
      </c>
    </row>
    <row r="196" spans="1:3" x14ac:dyDescent="0.25">
      <c r="A196" s="585">
        <v>534</v>
      </c>
      <c r="B196" s="585"/>
      <c r="C196" s="585" t="s">
        <v>986</v>
      </c>
    </row>
    <row r="197" spans="1:3" x14ac:dyDescent="0.25">
      <c r="A197" s="585">
        <v>535</v>
      </c>
      <c r="B197" s="585"/>
      <c r="C197" s="585" t="s">
        <v>987</v>
      </c>
    </row>
    <row r="198" spans="1:3" x14ac:dyDescent="0.25">
      <c r="A198" s="585">
        <v>539</v>
      </c>
      <c r="B198" s="585"/>
      <c r="C198" s="585" t="s">
        <v>988</v>
      </c>
    </row>
    <row r="199" spans="1:3" x14ac:dyDescent="0.25">
      <c r="A199" s="585">
        <v>543</v>
      </c>
      <c r="B199" s="585"/>
      <c r="C199" s="585" t="s">
        <v>989</v>
      </c>
    </row>
    <row r="200" spans="1:3" x14ac:dyDescent="0.25">
      <c r="A200" s="585">
        <v>544</v>
      </c>
      <c r="B200" s="585"/>
      <c r="C200" s="585" t="s">
        <v>990</v>
      </c>
    </row>
    <row r="201" spans="1:3" x14ac:dyDescent="0.25">
      <c r="A201" s="585">
        <v>545</v>
      </c>
      <c r="B201" s="585"/>
      <c r="C201" s="585" t="s">
        <v>991</v>
      </c>
    </row>
    <row r="202" spans="1:3" x14ac:dyDescent="0.25">
      <c r="A202" s="585">
        <v>553</v>
      </c>
      <c r="B202" s="585" t="s">
        <v>992</v>
      </c>
      <c r="C202" s="585" t="s">
        <v>992</v>
      </c>
    </row>
    <row r="203" spans="1:3" x14ac:dyDescent="0.25">
      <c r="A203" s="585">
        <v>554</v>
      </c>
      <c r="B203" s="585"/>
      <c r="C203" s="585" t="s">
        <v>993</v>
      </c>
    </row>
    <row r="204" spans="1:3" x14ac:dyDescent="0.25">
      <c r="A204" s="585">
        <v>559</v>
      </c>
      <c r="B204" s="585"/>
      <c r="C204" s="585" t="s">
        <v>994</v>
      </c>
    </row>
    <row r="205" spans="1:3" x14ac:dyDescent="0.25">
      <c r="A205" s="585">
        <v>561</v>
      </c>
      <c r="B205" s="585"/>
      <c r="C205" s="585" t="s">
        <v>995</v>
      </c>
    </row>
    <row r="206" spans="1:3" x14ac:dyDescent="0.25">
      <c r="A206" s="585">
        <v>562</v>
      </c>
      <c r="B206" s="585"/>
      <c r="C206" s="585" t="s">
        <v>996</v>
      </c>
    </row>
    <row r="207" spans="1:3" x14ac:dyDescent="0.25">
      <c r="A207" s="585">
        <v>564</v>
      </c>
      <c r="B207" s="585"/>
      <c r="C207" s="585" t="s">
        <v>997</v>
      </c>
    </row>
    <row r="208" spans="1:3" x14ac:dyDescent="0.25">
      <c r="A208" s="585">
        <v>572</v>
      </c>
      <c r="B208" s="585"/>
      <c r="C208" s="585" t="s">
        <v>998</v>
      </c>
    </row>
    <row r="209" spans="1:3" x14ac:dyDescent="0.25">
      <c r="A209" s="585">
        <v>580</v>
      </c>
      <c r="B209" s="585"/>
      <c r="C209" s="585" t="s">
        <v>999</v>
      </c>
    </row>
    <row r="210" spans="1:3" x14ac:dyDescent="0.25">
      <c r="A210" s="585">
        <v>581</v>
      </c>
      <c r="B210" s="585"/>
      <c r="C210" s="585" t="s">
        <v>1000</v>
      </c>
    </row>
    <row r="211" spans="1:3" x14ac:dyDescent="0.25">
      <c r="A211" s="585">
        <v>586</v>
      </c>
      <c r="B211" s="585"/>
      <c r="C211" s="585" t="s">
        <v>1001</v>
      </c>
    </row>
    <row r="212" spans="1:3" x14ac:dyDescent="0.25">
      <c r="A212" s="585">
        <v>588</v>
      </c>
      <c r="B212" s="585" t="s">
        <v>1002</v>
      </c>
      <c r="C212" s="585" t="s">
        <v>1003</v>
      </c>
    </row>
    <row r="213" spans="1:3" x14ac:dyDescent="0.25">
      <c r="A213" s="585">
        <v>590</v>
      </c>
      <c r="B213" s="585" t="s">
        <v>1004</v>
      </c>
      <c r="C213" s="585" t="s">
        <v>1005</v>
      </c>
    </row>
    <row r="214" spans="1:3" x14ac:dyDescent="0.25">
      <c r="A214" s="585">
        <v>597</v>
      </c>
      <c r="B214" s="585" t="s">
        <v>1006</v>
      </c>
      <c r="C214" s="585" t="s">
        <v>1007</v>
      </c>
    </row>
    <row r="215" spans="1:3" x14ac:dyDescent="0.25">
      <c r="A215" s="585">
        <v>598</v>
      </c>
      <c r="B215" s="585" t="s">
        <v>3293</v>
      </c>
      <c r="C215" s="585" t="s">
        <v>1008</v>
      </c>
    </row>
    <row r="216" spans="1:3" x14ac:dyDescent="0.25">
      <c r="A216" s="585">
        <v>607</v>
      </c>
      <c r="B216" s="585" t="s">
        <v>1009</v>
      </c>
      <c r="C216" s="585" t="s">
        <v>1009</v>
      </c>
    </row>
    <row r="217" spans="1:3" x14ac:dyDescent="0.25">
      <c r="A217" s="585">
        <v>608</v>
      </c>
      <c r="B217" s="585" t="s">
        <v>1010</v>
      </c>
      <c r="C217" s="585" t="s">
        <v>1011</v>
      </c>
    </row>
    <row r="218" spans="1:3" x14ac:dyDescent="0.25">
      <c r="A218" s="585">
        <v>610</v>
      </c>
      <c r="B218" s="585"/>
      <c r="C218" s="585" t="s">
        <v>1012</v>
      </c>
    </row>
    <row r="219" spans="1:3" x14ac:dyDescent="0.25">
      <c r="A219" s="585">
        <v>611</v>
      </c>
      <c r="B219" s="585"/>
      <c r="C219" s="585" t="s">
        <v>1013</v>
      </c>
    </row>
    <row r="220" spans="1:3" x14ac:dyDescent="0.25">
      <c r="A220" s="585">
        <v>614</v>
      </c>
      <c r="B220" s="585"/>
      <c r="C220" s="585" t="s">
        <v>1014</v>
      </c>
    </row>
    <row r="221" spans="1:3" x14ac:dyDescent="0.25">
      <c r="A221" s="585">
        <v>616</v>
      </c>
      <c r="B221" s="585"/>
      <c r="C221" s="585" t="s">
        <v>1015</v>
      </c>
    </row>
    <row r="222" spans="1:3" x14ac:dyDescent="0.25">
      <c r="A222" s="585">
        <v>619</v>
      </c>
      <c r="B222" s="585"/>
      <c r="C222" s="585" t="s">
        <v>1016</v>
      </c>
    </row>
    <row r="223" spans="1:3" x14ac:dyDescent="0.25">
      <c r="A223" s="585">
        <v>622</v>
      </c>
      <c r="B223" s="585"/>
      <c r="C223" s="585" t="s">
        <v>1017</v>
      </c>
    </row>
    <row r="224" spans="1:3" x14ac:dyDescent="0.25">
      <c r="A224" s="585">
        <v>623</v>
      </c>
      <c r="B224" s="585"/>
      <c r="C224" s="585" t="s">
        <v>1018</v>
      </c>
    </row>
    <row r="225" spans="1:3" x14ac:dyDescent="0.25">
      <c r="A225" s="585">
        <v>627</v>
      </c>
      <c r="B225" s="585"/>
      <c r="C225" s="585" t="s">
        <v>1019</v>
      </c>
    </row>
    <row r="226" spans="1:3" x14ac:dyDescent="0.25">
      <c r="A226" s="585">
        <v>630</v>
      </c>
      <c r="B226" s="585" t="s">
        <v>1020</v>
      </c>
      <c r="C226" s="585" t="s">
        <v>1021</v>
      </c>
    </row>
    <row r="227" spans="1:3" x14ac:dyDescent="0.25">
      <c r="A227" s="585">
        <v>631</v>
      </c>
      <c r="B227" s="585" t="s">
        <v>1022</v>
      </c>
      <c r="C227" s="585" t="s">
        <v>1022</v>
      </c>
    </row>
    <row r="228" spans="1:3" x14ac:dyDescent="0.25">
      <c r="A228" s="585">
        <v>632</v>
      </c>
      <c r="B228" s="585"/>
      <c r="C228" s="585" t="s">
        <v>1023</v>
      </c>
    </row>
    <row r="229" spans="1:3" x14ac:dyDescent="0.25">
      <c r="A229" s="585">
        <v>634</v>
      </c>
      <c r="B229" s="585"/>
      <c r="C229" s="585" t="s">
        <v>1024</v>
      </c>
    </row>
    <row r="230" spans="1:3" x14ac:dyDescent="0.25">
      <c r="A230" s="585">
        <v>635</v>
      </c>
      <c r="B230" s="585" t="s">
        <v>1025</v>
      </c>
      <c r="C230" s="585" t="s">
        <v>1026</v>
      </c>
    </row>
    <row r="231" spans="1:3" x14ac:dyDescent="0.25">
      <c r="A231" s="585">
        <v>641</v>
      </c>
      <c r="B231" s="585" t="s">
        <v>1027</v>
      </c>
      <c r="C231" s="585" t="s">
        <v>1028</v>
      </c>
    </row>
    <row r="232" spans="1:3" x14ac:dyDescent="0.25">
      <c r="A232" s="585">
        <v>642</v>
      </c>
      <c r="B232" s="585"/>
      <c r="C232" s="585" t="s">
        <v>1029</v>
      </c>
    </row>
    <row r="233" spans="1:3" x14ac:dyDescent="0.25">
      <c r="A233" s="585">
        <v>646</v>
      </c>
      <c r="B233" s="585" t="s">
        <v>1030</v>
      </c>
      <c r="C233" s="585" t="s">
        <v>1030</v>
      </c>
    </row>
    <row r="234" spans="1:3" x14ac:dyDescent="0.25">
      <c r="A234" s="585">
        <v>647</v>
      </c>
      <c r="B234" s="585" t="s">
        <v>1031</v>
      </c>
      <c r="C234" s="585" t="s">
        <v>1032</v>
      </c>
    </row>
    <row r="235" spans="1:3" x14ac:dyDescent="0.25">
      <c r="A235" s="585">
        <v>654</v>
      </c>
      <c r="B235" s="585" t="s">
        <v>1033</v>
      </c>
      <c r="C235" s="585" t="s">
        <v>1034</v>
      </c>
    </row>
    <row r="236" spans="1:3" x14ac:dyDescent="0.25">
      <c r="A236" s="585">
        <v>655</v>
      </c>
      <c r="B236" s="585"/>
      <c r="C236" s="585" t="s">
        <v>1035</v>
      </c>
    </row>
    <row r="237" spans="1:3" x14ac:dyDescent="0.25">
      <c r="A237" s="585">
        <v>658</v>
      </c>
      <c r="B237" s="585"/>
      <c r="C237" s="585" t="s">
        <v>1036</v>
      </c>
    </row>
    <row r="238" spans="1:3" x14ac:dyDescent="0.25">
      <c r="A238" s="585">
        <v>659</v>
      </c>
      <c r="B238" s="585" t="s">
        <v>1037</v>
      </c>
      <c r="C238" s="585" t="s">
        <v>1037</v>
      </c>
    </row>
    <row r="239" spans="1:3" x14ac:dyDescent="0.25">
      <c r="A239" s="585">
        <v>660</v>
      </c>
      <c r="B239" s="585"/>
      <c r="C239" s="585" t="s">
        <v>1038</v>
      </c>
    </row>
    <row r="240" spans="1:3" x14ac:dyDescent="0.25">
      <c r="A240" s="585">
        <v>664</v>
      </c>
      <c r="B240" s="585"/>
      <c r="C240" s="585" t="s">
        <v>1039</v>
      </c>
    </row>
    <row r="241" spans="1:3" x14ac:dyDescent="0.25">
      <c r="A241" s="585">
        <v>666</v>
      </c>
      <c r="B241" s="585"/>
      <c r="C241" s="585" t="s">
        <v>1040</v>
      </c>
    </row>
    <row r="242" spans="1:3" x14ac:dyDescent="0.25">
      <c r="A242" s="585">
        <v>667</v>
      </c>
      <c r="B242" s="585" t="s">
        <v>1041</v>
      </c>
      <c r="C242" s="585" t="s">
        <v>1042</v>
      </c>
    </row>
    <row r="243" spans="1:3" x14ac:dyDescent="0.25">
      <c r="A243" s="585">
        <v>669</v>
      </c>
      <c r="B243" s="585"/>
      <c r="C243" s="585" t="s">
        <v>1043</v>
      </c>
    </row>
    <row r="244" spans="1:3" x14ac:dyDescent="0.25">
      <c r="A244" s="585">
        <v>673</v>
      </c>
      <c r="B244" s="585"/>
      <c r="C244" s="585" t="s">
        <v>1044</v>
      </c>
    </row>
    <row r="245" spans="1:3" x14ac:dyDescent="0.25">
      <c r="A245" s="585">
        <v>674</v>
      </c>
      <c r="B245" s="585"/>
      <c r="C245" s="585" t="s">
        <v>1045</v>
      </c>
    </row>
    <row r="246" spans="1:3" x14ac:dyDescent="0.25">
      <c r="A246" s="585">
        <v>675</v>
      </c>
      <c r="B246" s="585"/>
      <c r="C246" s="585" t="s">
        <v>1046</v>
      </c>
    </row>
    <row r="247" spans="1:3" x14ac:dyDescent="0.25">
      <c r="A247" s="585">
        <v>676</v>
      </c>
      <c r="B247" s="585"/>
      <c r="C247" s="585" t="s">
        <v>1047</v>
      </c>
    </row>
    <row r="248" spans="1:3" x14ac:dyDescent="0.25">
      <c r="A248" s="585">
        <v>678</v>
      </c>
      <c r="B248" s="585"/>
      <c r="C248" s="585" t="s">
        <v>1048</v>
      </c>
    </row>
    <row r="249" spans="1:3" x14ac:dyDescent="0.25">
      <c r="A249" s="585">
        <v>681</v>
      </c>
      <c r="B249" s="585"/>
      <c r="C249" s="585" t="s">
        <v>1049</v>
      </c>
    </row>
    <row r="250" spans="1:3" x14ac:dyDescent="0.25">
      <c r="A250" s="585">
        <v>688</v>
      </c>
      <c r="B250" s="585" t="s">
        <v>1050</v>
      </c>
      <c r="C250" s="585" t="s">
        <v>1051</v>
      </c>
    </row>
    <row r="251" spans="1:3" x14ac:dyDescent="0.25">
      <c r="A251" s="585">
        <v>695</v>
      </c>
      <c r="B251" s="585"/>
      <c r="C251" s="585" t="s">
        <v>1052</v>
      </c>
    </row>
    <row r="252" spans="1:3" x14ac:dyDescent="0.25">
      <c r="A252" s="585">
        <v>700</v>
      </c>
      <c r="B252" s="585"/>
      <c r="C252" s="585" t="s">
        <v>1053</v>
      </c>
    </row>
    <row r="253" spans="1:3" x14ac:dyDescent="0.25">
      <c r="A253" s="585">
        <v>701</v>
      </c>
      <c r="B253" s="585"/>
      <c r="C253" s="585" t="s">
        <v>1054</v>
      </c>
    </row>
    <row r="254" spans="1:3" x14ac:dyDescent="0.25">
      <c r="A254" s="585">
        <v>702</v>
      </c>
      <c r="B254" s="585" t="s">
        <v>1055</v>
      </c>
      <c r="C254" s="585" t="s">
        <v>1055</v>
      </c>
    </row>
    <row r="255" spans="1:3" x14ac:dyDescent="0.25">
      <c r="A255" s="585">
        <v>703</v>
      </c>
      <c r="B255" s="585"/>
      <c r="C255" s="585" t="s">
        <v>1056</v>
      </c>
    </row>
    <row r="256" spans="1:3" x14ac:dyDescent="0.25">
      <c r="A256" s="585">
        <v>704</v>
      </c>
      <c r="B256" s="585"/>
      <c r="C256" s="585" t="s">
        <v>1057</v>
      </c>
    </row>
    <row r="257" spans="1:3" x14ac:dyDescent="0.25">
      <c r="A257" s="585">
        <v>705</v>
      </c>
      <c r="B257" s="585"/>
      <c r="C257" s="585" t="s">
        <v>1058</v>
      </c>
    </row>
    <row r="258" spans="1:3" x14ac:dyDescent="0.25">
      <c r="A258" s="585">
        <v>707</v>
      </c>
      <c r="B258" s="585"/>
      <c r="C258" s="585" t="s">
        <v>1059</v>
      </c>
    </row>
    <row r="259" spans="1:3" x14ac:dyDescent="0.25">
      <c r="A259" s="585">
        <v>711</v>
      </c>
      <c r="B259" s="585"/>
      <c r="C259" s="585" t="s">
        <v>1060</v>
      </c>
    </row>
    <row r="260" spans="1:3" x14ac:dyDescent="0.25">
      <c r="A260" s="585">
        <v>717</v>
      </c>
      <c r="B260" s="585"/>
      <c r="C260" s="585" t="s">
        <v>1061</v>
      </c>
    </row>
    <row r="261" spans="1:3" x14ac:dyDescent="0.25">
      <c r="A261" s="585">
        <v>728</v>
      </c>
      <c r="B261" s="585" t="s">
        <v>1062</v>
      </c>
      <c r="C261" s="585" t="s">
        <v>1062</v>
      </c>
    </row>
    <row r="262" spans="1:3" x14ac:dyDescent="0.25">
      <c r="A262" s="585">
        <v>729</v>
      </c>
      <c r="B262" s="585" t="s">
        <v>1063</v>
      </c>
      <c r="C262" s="585" t="s">
        <v>1063</v>
      </c>
    </row>
    <row r="263" spans="1:3" x14ac:dyDescent="0.25">
      <c r="A263" s="585">
        <v>737</v>
      </c>
      <c r="B263" s="585" t="s">
        <v>1064</v>
      </c>
      <c r="C263" s="585" t="s">
        <v>1065</v>
      </c>
    </row>
    <row r="264" spans="1:3" x14ac:dyDescent="0.25">
      <c r="A264" s="585">
        <v>742</v>
      </c>
      <c r="B264" s="585" t="s">
        <v>1066</v>
      </c>
      <c r="C264" s="585" t="s">
        <v>1066</v>
      </c>
    </row>
    <row r="265" spans="1:3" x14ac:dyDescent="0.25">
      <c r="A265" s="585">
        <v>753</v>
      </c>
      <c r="B265" s="585" t="s">
        <v>1067</v>
      </c>
      <c r="C265" s="585" t="s">
        <v>1067</v>
      </c>
    </row>
    <row r="266" spans="1:3" x14ac:dyDescent="0.25">
      <c r="A266" s="585">
        <v>754</v>
      </c>
      <c r="B266" s="585" t="s">
        <v>1068</v>
      </c>
      <c r="C266" s="585" t="s">
        <v>1069</v>
      </c>
    </row>
    <row r="267" spans="1:3" x14ac:dyDescent="0.25">
      <c r="A267" s="585">
        <v>765</v>
      </c>
      <c r="B267" s="585" t="s">
        <v>1070</v>
      </c>
      <c r="C267" s="585" t="s">
        <v>1071</v>
      </c>
    </row>
    <row r="268" spans="1:3" x14ac:dyDescent="0.25">
      <c r="A268" s="585">
        <v>768</v>
      </c>
      <c r="B268" s="585" t="s">
        <v>1072</v>
      </c>
      <c r="C268" s="585" t="s">
        <v>1072</v>
      </c>
    </row>
    <row r="269" spans="1:3" x14ac:dyDescent="0.25">
      <c r="A269" s="585">
        <v>771</v>
      </c>
      <c r="B269" s="585" t="s">
        <v>1073</v>
      </c>
      <c r="C269" s="585" t="s">
        <v>1073</v>
      </c>
    </row>
    <row r="270" spans="1:3" x14ac:dyDescent="0.25">
      <c r="A270" s="585">
        <v>775</v>
      </c>
      <c r="B270" s="585" t="s">
        <v>3467</v>
      </c>
      <c r="C270" s="585" t="s">
        <v>3467</v>
      </c>
    </row>
    <row r="271" spans="1:3" x14ac:dyDescent="0.25">
      <c r="A271" s="585">
        <v>783</v>
      </c>
      <c r="B271" s="585" t="s">
        <v>1074</v>
      </c>
      <c r="C271" s="585" t="s">
        <v>1075</v>
      </c>
    </row>
    <row r="272" spans="1:3" x14ac:dyDescent="0.25">
      <c r="A272" s="585">
        <v>789</v>
      </c>
      <c r="B272" s="585" t="s">
        <v>1076</v>
      </c>
      <c r="C272" s="585" t="s">
        <v>1077</v>
      </c>
    </row>
    <row r="273" spans="1:3" x14ac:dyDescent="0.25">
      <c r="A273" s="585">
        <v>796</v>
      </c>
      <c r="B273" s="585" t="s">
        <v>1078</v>
      </c>
      <c r="C273" s="585" t="s">
        <v>1079</v>
      </c>
    </row>
    <row r="274" spans="1:3" x14ac:dyDescent="0.25">
      <c r="A274" s="585">
        <v>806</v>
      </c>
      <c r="B274" s="585" t="s">
        <v>1080</v>
      </c>
      <c r="C274" s="585" t="s">
        <v>1080</v>
      </c>
    </row>
    <row r="275" spans="1:3" x14ac:dyDescent="0.25">
      <c r="A275" s="585">
        <v>816</v>
      </c>
      <c r="B275" s="585" t="s">
        <v>1081</v>
      </c>
      <c r="C275" s="585" t="s">
        <v>1081</v>
      </c>
    </row>
    <row r="276" spans="1:3" x14ac:dyDescent="0.25">
      <c r="A276" s="585">
        <v>825</v>
      </c>
      <c r="B276" s="585" t="s">
        <v>1082</v>
      </c>
      <c r="C276" s="585" t="s">
        <v>1083</v>
      </c>
    </row>
    <row r="277" spans="1:3" x14ac:dyDescent="0.25">
      <c r="A277" s="585">
        <v>838</v>
      </c>
      <c r="B277" s="585" t="s">
        <v>1084</v>
      </c>
      <c r="C277" s="585" t="s">
        <v>1085</v>
      </c>
    </row>
    <row r="278" spans="1:3" x14ac:dyDescent="0.25">
      <c r="A278" s="585">
        <v>859</v>
      </c>
      <c r="B278" s="585" t="s">
        <v>1086</v>
      </c>
      <c r="C278" s="585" t="s">
        <v>1086</v>
      </c>
    </row>
    <row r="279" spans="1:3" x14ac:dyDescent="0.25">
      <c r="A279" s="585">
        <v>868</v>
      </c>
      <c r="B279" s="585" t="s">
        <v>1087</v>
      </c>
      <c r="C279" s="585" t="s">
        <v>1087</v>
      </c>
    </row>
    <row r="280" spans="1:3" x14ac:dyDescent="0.25">
      <c r="A280" s="585">
        <v>872</v>
      </c>
      <c r="B280" s="585" t="s">
        <v>1088</v>
      </c>
      <c r="C280" s="585" t="s">
        <v>1089</v>
      </c>
    </row>
    <row r="281" spans="1:3" x14ac:dyDescent="0.25">
      <c r="A281" s="585">
        <v>884</v>
      </c>
      <c r="B281" s="585" t="s">
        <v>1090</v>
      </c>
      <c r="C281" s="585" t="s">
        <v>1091</v>
      </c>
    </row>
    <row r="282" spans="1:3" x14ac:dyDescent="0.25">
      <c r="A282" s="585">
        <v>898</v>
      </c>
      <c r="B282" s="585" t="s">
        <v>1092</v>
      </c>
      <c r="C282" s="585" t="s">
        <v>1093</v>
      </c>
    </row>
    <row r="283" spans="1:3" x14ac:dyDescent="0.25">
      <c r="A283" s="585">
        <v>904</v>
      </c>
      <c r="B283" s="585" t="s">
        <v>1094</v>
      </c>
      <c r="C283" s="585" t="s">
        <v>1094</v>
      </c>
    </row>
    <row r="284" spans="1:3" x14ac:dyDescent="0.25">
      <c r="A284" s="585">
        <v>908</v>
      </c>
      <c r="B284" s="585" t="s">
        <v>1095</v>
      </c>
      <c r="C284" s="585" t="s">
        <v>1096</v>
      </c>
    </row>
    <row r="285" spans="1:3" x14ac:dyDescent="0.25">
      <c r="A285" s="585">
        <v>912</v>
      </c>
      <c r="B285" s="585" t="s">
        <v>1097</v>
      </c>
      <c r="C285" s="585" t="s">
        <v>1098</v>
      </c>
    </row>
    <row r="286" spans="1:3" x14ac:dyDescent="0.25">
      <c r="A286" s="585">
        <v>922</v>
      </c>
      <c r="B286" s="585" t="s">
        <v>1099</v>
      </c>
      <c r="C286" s="585" t="s">
        <v>1100</v>
      </c>
    </row>
    <row r="287" spans="1:3" x14ac:dyDescent="0.25">
      <c r="A287" s="585">
        <v>923</v>
      </c>
      <c r="B287" s="585" t="s">
        <v>1101</v>
      </c>
      <c r="C287" s="585" t="s">
        <v>1102</v>
      </c>
    </row>
    <row r="288" spans="1:3" x14ac:dyDescent="0.25">
      <c r="A288" s="585">
        <v>928</v>
      </c>
      <c r="B288" s="585" t="s">
        <v>1103</v>
      </c>
      <c r="C288" s="585" t="s">
        <v>1104</v>
      </c>
    </row>
    <row r="289" spans="1:3" x14ac:dyDescent="0.25">
      <c r="A289" s="585">
        <v>935</v>
      </c>
      <c r="B289" s="585" t="s">
        <v>1105</v>
      </c>
      <c r="C289" s="585" t="s">
        <v>1106</v>
      </c>
    </row>
    <row r="290" spans="1:3" x14ac:dyDescent="0.25">
      <c r="A290" s="585">
        <v>955</v>
      </c>
      <c r="B290" s="585" t="s">
        <v>1107</v>
      </c>
      <c r="C290" s="585" t="s">
        <v>1108</v>
      </c>
    </row>
    <row r="291" spans="1:3" x14ac:dyDescent="0.25">
      <c r="A291" s="585">
        <v>973</v>
      </c>
      <c r="B291" s="585" t="s">
        <v>1109</v>
      </c>
      <c r="C291" s="585" t="s">
        <v>1110</v>
      </c>
    </row>
    <row r="292" spans="1:3" x14ac:dyDescent="0.25">
      <c r="A292" s="585">
        <v>976</v>
      </c>
      <c r="B292" s="585" t="s">
        <v>1111</v>
      </c>
      <c r="C292" s="585" t="s">
        <v>1112</v>
      </c>
    </row>
    <row r="293" spans="1:3" x14ac:dyDescent="0.25">
      <c r="A293" s="585">
        <v>992</v>
      </c>
      <c r="B293" s="585" t="s">
        <v>1113</v>
      </c>
      <c r="C293" s="585" t="s">
        <v>1114</v>
      </c>
    </row>
    <row r="294" spans="1:3" x14ac:dyDescent="0.25">
      <c r="A294" s="585">
        <v>999</v>
      </c>
      <c r="B294" s="585" t="s">
        <v>1115</v>
      </c>
      <c r="C294" s="585" t="s">
        <v>1115</v>
      </c>
    </row>
    <row r="295" spans="1:3" x14ac:dyDescent="0.25">
      <c r="A295" s="585">
        <v>1006</v>
      </c>
      <c r="B295" s="585" t="s">
        <v>1116</v>
      </c>
      <c r="C295" s="585" t="s">
        <v>1117</v>
      </c>
    </row>
    <row r="296" spans="1:3" x14ac:dyDescent="0.25">
      <c r="A296" s="585">
        <v>1009</v>
      </c>
      <c r="B296" s="585" t="s">
        <v>1118</v>
      </c>
      <c r="C296" s="585" t="s">
        <v>1118</v>
      </c>
    </row>
    <row r="297" spans="1:3" x14ac:dyDescent="0.25">
      <c r="A297" s="585">
        <v>1011</v>
      </c>
      <c r="B297" s="585" t="s">
        <v>1119</v>
      </c>
      <c r="C297" s="585" t="s">
        <v>1120</v>
      </c>
    </row>
    <row r="298" spans="1:3" x14ac:dyDescent="0.25">
      <c r="A298" s="585">
        <v>1017</v>
      </c>
      <c r="B298" s="585" t="s">
        <v>1121</v>
      </c>
      <c r="C298" s="585" t="s">
        <v>1121</v>
      </c>
    </row>
    <row r="299" spans="1:3" x14ac:dyDescent="0.25">
      <c r="A299" s="585">
        <v>1019</v>
      </c>
      <c r="B299" s="585" t="s">
        <v>1122</v>
      </c>
      <c r="C299" s="585" t="s">
        <v>1123</v>
      </c>
    </row>
    <row r="300" spans="1:3" x14ac:dyDescent="0.25">
      <c r="A300" s="585">
        <v>1025</v>
      </c>
      <c r="B300" s="585" t="s">
        <v>1124</v>
      </c>
      <c r="C300" s="585" t="s">
        <v>1124</v>
      </c>
    </row>
    <row r="301" spans="1:3" x14ac:dyDescent="0.25">
      <c r="A301" s="585">
        <v>1034</v>
      </c>
      <c r="B301" s="585" t="s">
        <v>1125</v>
      </c>
      <c r="C301" s="585" t="s">
        <v>1126</v>
      </c>
    </row>
    <row r="302" spans="1:3" x14ac:dyDescent="0.25">
      <c r="A302" s="585">
        <v>1047</v>
      </c>
      <c r="B302" s="585" t="s">
        <v>1127</v>
      </c>
      <c r="C302" s="585" t="s">
        <v>1128</v>
      </c>
    </row>
    <row r="303" spans="1:3" x14ac:dyDescent="0.25">
      <c r="A303" s="585">
        <v>1066</v>
      </c>
      <c r="B303" s="585" t="s">
        <v>1129</v>
      </c>
      <c r="C303" s="585" t="s">
        <v>1130</v>
      </c>
    </row>
    <row r="304" spans="1:3" x14ac:dyDescent="0.25">
      <c r="A304" s="585">
        <v>1067</v>
      </c>
      <c r="B304" s="585" t="s">
        <v>1130</v>
      </c>
      <c r="C304" s="585" t="s">
        <v>1130</v>
      </c>
    </row>
    <row r="305" spans="1:3" x14ac:dyDescent="0.25">
      <c r="A305" s="585">
        <v>1075</v>
      </c>
      <c r="B305" s="585" t="s">
        <v>1131</v>
      </c>
      <c r="C305" s="585" t="s">
        <v>1131</v>
      </c>
    </row>
    <row r="306" spans="1:3" x14ac:dyDescent="0.25">
      <c r="A306" s="585">
        <v>1076</v>
      </c>
      <c r="B306" s="585" t="s">
        <v>1132</v>
      </c>
      <c r="C306" s="585" t="s">
        <v>1133</v>
      </c>
    </row>
    <row r="307" spans="1:3" x14ac:dyDescent="0.25">
      <c r="A307" s="585">
        <v>1078</v>
      </c>
      <c r="B307" s="585" t="s">
        <v>1134</v>
      </c>
      <c r="C307" s="585" t="s">
        <v>1135</v>
      </c>
    </row>
    <row r="308" spans="1:3" x14ac:dyDescent="0.25">
      <c r="A308" s="585">
        <v>1083</v>
      </c>
      <c r="B308" s="585" t="s">
        <v>1136</v>
      </c>
      <c r="C308" s="585" t="s">
        <v>1137</v>
      </c>
    </row>
    <row r="309" spans="1:3" x14ac:dyDescent="0.25">
      <c r="A309" s="585">
        <v>1084</v>
      </c>
      <c r="B309" s="585" t="s">
        <v>1138</v>
      </c>
      <c r="C309" s="585" t="s">
        <v>1139</v>
      </c>
    </row>
    <row r="310" spans="1:3" x14ac:dyDescent="0.25">
      <c r="A310" s="585">
        <v>1085</v>
      </c>
      <c r="B310" s="585" t="s">
        <v>1140</v>
      </c>
      <c r="C310" s="585" t="s">
        <v>1141</v>
      </c>
    </row>
    <row r="311" spans="1:3" x14ac:dyDescent="0.25">
      <c r="A311" s="585">
        <v>1096</v>
      </c>
      <c r="B311" s="585" t="s">
        <v>1142</v>
      </c>
      <c r="C311" s="585" t="s">
        <v>1143</v>
      </c>
    </row>
    <row r="312" spans="1:3" x14ac:dyDescent="0.25">
      <c r="A312" s="585">
        <v>1097</v>
      </c>
      <c r="B312" s="585" t="s">
        <v>1144</v>
      </c>
      <c r="C312" s="585" t="s">
        <v>1145</v>
      </c>
    </row>
    <row r="313" spans="1:3" x14ac:dyDescent="0.25">
      <c r="A313" s="585">
        <v>1098</v>
      </c>
      <c r="B313" s="585" t="s">
        <v>1146</v>
      </c>
      <c r="C313" s="585" t="s">
        <v>1147</v>
      </c>
    </row>
    <row r="314" spans="1:3" x14ac:dyDescent="0.25">
      <c r="A314" s="585">
        <v>1100</v>
      </c>
      <c r="B314" s="585" t="s">
        <v>1148</v>
      </c>
      <c r="C314" s="585" t="s">
        <v>1149</v>
      </c>
    </row>
    <row r="315" spans="1:3" x14ac:dyDescent="0.25">
      <c r="A315" s="585">
        <v>1113</v>
      </c>
      <c r="B315" s="585" t="s">
        <v>1150</v>
      </c>
      <c r="C315" s="585" t="s">
        <v>1151</v>
      </c>
    </row>
    <row r="316" spans="1:3" x14ac:dyDescent="0.25">
      <c r="A316" s="585">
        <v>1122</v>
      </c>
      <c r="B316" s="585" t="s">
        <v>1152</v>
      </c>
      <c r="C316" s="585" t="s">
        <v>1153</v>
      </c>
    </row>
    <row r="317" spans="1:3" x14ac:dyDescent="0.25">
      <c r="A317" s="585">
        <v>1147</v>
      </c>
      <c r="B317" s="585" t="s">
        <v>1154</v>
      </c>
      <c r="C317" s="585" t="s">
        <v>1154</v>
      </c>
    </row>
    <row r="318" spans="1:3" x14ac:dyDescent="0.25">
      <c r="A318" s="585">
        <v>1149</v>
      </c>
      <c r="B318" s="585" t="s">
        <v>1155</v>
      </c>
      <c r="C318" s="585" t="s">
        <v>1155</v>
      </c>
    </row>
    <row r="319" spans="1:3" x14ac:dyDescent="0.25">
      <c r="A319" s="585">
        <v>1192</v>
      </c>
      <c r="B319" s="585" t="s">
        <v>1156</v>
      </c>
      <c r="C319" s="585" t="s">
        <v>1157</v>
      </c>
    </row>
    <row r="320" spans="1:3" x14ac:dyDescent="0.25">
      <c r="A320" s="585">
        <v>1197</v>
      </c>
      <c r="B320" s="585" t="s">
        <v>1158</v>
      </c>
      <c r="C320" s="585" t="s">
        <v>1159</v>
      </c>
    </row>
    <row r="321" spans="1:3" x14ac:dyDescent="0.25">
      <c r="A321" s="585">
        <v>1199</v>
      </c>
      <c r="B321" s="585" t="s">
        <v>1160</v>
      </c>
      <c r="C321" s="585" t="s">
        <v>1160</v>
      </c>
    </row>
    <row r="322" spans="1:3" x14ac:dyDescent="0.25">
      <c r="A322" s="585">
        <v>1202</v>
      </c>
      <c r="B322" s="585" t="s">
        <v>1161</v>
      </c>
      <c r="C322" s="585" t="s">
        <v>1161</v>
      </c>
    </row>
    <row r="323" spans="1:3" x14ac:dyDescent="0.25">
      <c r="A323" s="585">
        <v>1217</v>
      </c>
      <c r="B323" s="585" t="s">
        <v>1162</v>
      </c>
      <c r="C323" s="585" t="s">
        <v>1163</v>
      </c>
    </row>
    <row r="324" spans="1:3" x14ac:dyDescent="0.25">
      <c r="A324" s="585">
        <v>1220</v>
      </c>
      <c r="B324" s="585" t="s">
        <v>1164</v>
      </c>
      <c r="C324" s="585" t="s">
        <v>1165</v>
      </c>
    </row>
    <row r="325" spans="1:3" x14ac:dyDescent="0.25">
      <c r="A325" s="585">
        <v>1245</v>
      </c>
      <c r="B325" s="585" t="s">
        <v>1166</v>
      </c>
      <c r="C325" s="585" t="s">
        <v>1167</v>
      </c>
    </row>
    <row r="326" spans="1:3" x14ac:dyDescent="0.25">
      <c r="A326" s="585">
        <v>1252</v>
      </c>
      <c r="B326" s="585" t="s">
        <v>1168</v>
      </c>
      <c r="C326" s="585" t="s">
        <v>1169</v>
      </c>
    </row>
    <row r="327" spans="1:3" x14ac:dyDescent="0.25">
      <c r="A327" s="585">
        <v>1255</v>
      </c>
      <c r="B327" s="585" t="s">
        <v>1170</v>
      </c>
      <c r="C327" s="585" t="s">
        <v>1171</v>
      </c>
    </row>
    <row r="328" spans="1:3" x14ac:dyDescent="0.25">
      <c r="A328" s="585">
        <v>1257</v>
      </c>
      <c r="B328" s="585" t="s">
        <v>1172</v>
      </c>
      <c r="C328" s="585" t="s">
        <v>1172</v>
      </c>
    </row>
    <row r="329" spans="1:3" x14ac:dyDescent="0.25">
      <c r="A329" s="585">
        <v>1260</v>
      </c>
      <c r="B329" s="585" t="s">
        <v>1173</v>
      </c>
      <c r="C329" s="585" t="s">
        <v>1174</v>
      </c>
    </row>
    <row r="330" spans="1:3" x14ac:dyDescent="0.25">
      <c r="A330" s="585">
        <v>1268</v>
      </c>
      <c r="B330" s="585" t="s">
        <v>1175</v>
      </c>
      <c r="C330" s="585" t="s">
        <v>1176</v>
      </c>
    </row>
    <row r="331" spans="1:3" x14ac:dyDescent="0.25">
      <c r="A331" s="585">
        <v>1269</v>
      </c>
      <c r="B331" s="585" t="s">
        <v>1177</v>
      </c>
      <c r="C331" s="585" t="s">
        <v>1178</v>
      </c>
    </row>
    <row r="332" spans="1:3" x14ac:dyDescent="0.25">
      <c r="A332" s="585">
        <v>1272</v>
      </c>
      <c r="B332" s="585" t="s">
        <v>1179</v>
      </c>
      <c r="C332" s="585" t="s">
        <v>1179</v>
      </c>
    </row>
    <row r="333" spans="1:3" x14ac:dyDescent="0.25">
      <c r="A333" s="585">
        <v>1276</v>
      </c>
      <c r="B333" s="585" t="s">
        <v>1180</v>
      </c>
      <c r="C333" s="585" t="s">
        <v>1181</v>
      </c>
    </row>
    <row r="334" spans="1:3" x14ac:dyDescent="0.25">
      <c r="A334" s="585">
        <v>1278</v>
      </c>
      <c r="B334" s="585" t="s">
        <v>1182</v>
      </c>
      <c r="C334" s="585" t="s">
        <v>1183</v>
      </c>
    </row>
    <row r="335" spans="1:3" x14ac:dyDescent="0.25">
      <c r="A335" s="585">
        <v>1282</v>
      </c>
      <c r="B335" s="585" t="s">
        <v>1184</v>
      </c>
      <c r="C335" s="585" t="s">
        <v>1185</v>
      </c>
    </row>
    <row r="336" spans="1:3" x14ac:dyDescent="0.25">
      <c r="A336" s="585">
        <v>1298</v>
      </c>
      <c r="B336" s="585" t="s">
        <v>1186</v>
      </c>
      <c r="C336" s="585" t="s">
        <v>1186</v>
      </c>
    </row>
    <row r="337" spans="1:3" x14ac:dyDescent="0.25">
      <c r="A337" s="585">
        <v>1305</v>
      </c>
      <c r="B337" s="585" t="s">
        <v>1187</v>
      </c>
      <c r="C337" s="585" t="s">
        <v>1187</v>
      </c>
    </row>
    <row r="338" spans="1:3" x14ac:dyDescent="0.25">
      <c r="A338" s="585">
        <v>1310</v>
      </c>
      <c r="B338" s="585" t="s">
        <v>1188</v>
      </c>
      <c r="C338" s="585" t="s">
        <v>1189</v>
      </c>
    </row>
    <row r="339" spans="1:3" x14ac:dyDescent="0.25">
      <c r="A339" s="585">
        <v>1317</v>
      </c>
      <c r="B339" s="585" t="s">
        <v>1190</v>
      </c>
      <c r="C339" s="585" t="s">
        <v>1191</v>
      </c>
    </row>
    <row r="340" spans="1:3" x14ac:dyDescent="0.25">
      <c r="A340" s="585">
        <v>1322</v>
      </c>
      <c r="B340" s="585" t="s">
        <v>1192</v>
      </c>
      <c r="C340" s="585" t="s">
        <v>1192</v>
      </c>
    </row>
    <row r="341" spans="1:3" x14ac:dyDescent="0.25">
      <c r="A341" s="585">
        <v>1328</v>
      </c>
      <c r="B341" s="585" t="s">
        <v>1193</v>
      </c>
      <c r="C341" s="585" t="s">
        <v>1194</v>
      </c>
    </row>
    <row r="342" spans="1:3" x14ac:dyDescent="0.25">
      <c r="A342" s="585">
        <v>1335</v>
      </c>
      <c r="B342" s="585" t="s">
        <v>1195</v>
      </c>
      <c r="C342" s="585" t="s">
        <v>1195</v>
      </c>
    </row>
    <row r="343" spans="1:3" x14ac:dyDescent="0.25">
      <c r="A343" s="585">
        <v>1343</v>
      </c>
      <c r="B343" s="585" t="s">
        <v>1196</v>
      </c>
      <c r="C343" s="585" t="s">
        <v>1196</v>
      </c>
    </row>
    <row r="344" spans="1:3" x14ac:dyDescent="0.25">
      <c r="A344" s="585">
        <v>1344</v>
      </c>
      <c r="B344" s="585" t="s">
        <v>1197</v>
      </c>
      <c r="C344" s="585" t="s">
        <v>1198</v>
      </c>
    </row>
    <row r="345" spans="1:3" x14ac:dyDescent="0.25">
      <c r="A345" s="585">
        <v>1347</v>
      </c>
      <c r="B345" s="585" t="s">
        <v>1199</v>
      </c>
      <c r="C345" s="585" t="s">
        <v>1200</v>
      </c>
    </row>
    <row r="346" spans="1:3" x14ac:dyDescent="0.25">
      <c r="A346" s="585">
        <v>1349</v>
      </c>
      <c r="B346" s="585" t="s">
        <v>1201</v>
      </c>
      <c r="C346" s="585" t="s">
        <v>1202</v>
      </c>
    </row>
    <row r="347" spans="1:3" x14ac:dyDescent="0.25">
      <c r="A347" s="585">
        <v>1361</v>
      </c>
      <c r="B347" s="585" t="s">
        <v>1203</v>
      </c>
      <c r="C347" s="585" t="s">
        <v>1204</v>
      </c>
    </row>
    <row r="348" spans="1:3" x14ac:dyDescent="0.25">
      <c r="A348" s="585">
        <v>1405</v>
      </c>
      <c r="B348" s="585" t="s">
        <v>1205</v>
      </c>
      <c r="C348" s="585" t="s">
        <v>1206</v>
      </c>
    </row>
    <row r="349" spans="1:3" x14ac:dyDescent="0.25">
      <c r="A349" s="585">
        <v>1412</v>
      </c>
      <c r="B349" s="585" t="s">
        <v>3468</v>
      </c>
      <c r="C349" s="585" t="s">
        <v>3468</v>
      </c>
    </row>
    <row r="350" spans="1:3" x14ac:dyDescent="0.25">
      <c r="A350" s="585">
        <v>1414</v>
      </c>
      <c r="B350" s="585" t="s">
        <v>1207</v>
      </c>
      <c r="C350" s="585" t="s">
        <v>1208</v>
      </c>
    </row>
    <row r="351" spans="1:3" x14ac:dyDescent="0.25">
      <c r="A351" s="585">
        <v>1420</v>
      </c>
      <c r="B351" s="585" t="s">
        <v>1209</v>
      </c>
      <c r="C351" s="585" t="s">
        <v>1210</v>
      </c>
    </row>
    <row r="352" spans="1:3" x14ac:dyDescent="0.25">
      <c r="A352" s="585">
        <v>1427</v>
      </c>
      <c r="B352" s="585" t="s">
        <v>1211</v>
      </c>
      <c r="C352" s="585" t="s">
        <v>1212</v>
      </c>
    </row>
    <row r="353" spans="1:3" x14ac:dyDescent="0.25">
      <c r="A353" s="585">
        <v>1432</v>
      </c>
      <c r="B353" s="585" t="s">
        <v>1213</v>
      </c>
      <c r="C353" s="585" t="s">
        <v>1214</v>
      </c>
    </row>
    <row r="354" spans="1:3" x14ac:dyDescent="0.25">
      <c r="A354" s="585">
        <v>1438</v>
      </c>
      <c r="B354" s="585" t="s">
        <v>1215</v>
      </c>
      <c r="C354" s="585" t="s">
        <v>1216</v>
      </c>
    </row>
    <row r="355" spans="1:3" x14ac:dyDescent="0.25">
      <c r="A355" s="585">
        <v>1446</v>
      </c>
      <c r="B355" s="585" t="s">
        <v>1217</v>
      </c>
      <c r="C355" s="585" t="s">
        <v>1218</v>
      </c>
    </row>
    <row r="356" spans="1:3" x14ac:dyDescent="0.25">
      <c r="A356" s="585">
        <v>1447</v>
      </c>
      <c r="B356" s="585" t="s">
        <v>1219</v>
      </c>
      <c r="C356" s="585" t="s">
        <v>1220</v>
      </c>
    </row>
    <row r="357" spans="1:3" x14ac:dyDescent="0.25">
      <c r="A357" s="585">
        <v>1449</v>
      </c>
      <c r="B357" s="585" t="s">
        <v>1221</v>
      </c>
      <c r="C357" s="585" t="s">
        <v>1221</v>
      </c>
    </row>
    <row r="358" spans="1:3" x14ac:dyDescent="0.25">
      <c r="A358" s="585">
        <v>1452</v>
      </c>
      <c r="B358" s="585" t="s">
        <v>1222</v>
      </c>
      <c r="C358" s="585" t="s">
        <v>1222</v>
      </c>
    </row>
    <row r="359" spans="1:3" x14ac:dyDescent="0.25">
      <c r="A359" s="585">
        <v>1454</v>
      </c>
      <c r="B359" s="585" t="s">
        <v>1223</v>
      </c>
      <c r="C359" s="585" t="s">
        <v>1223</v>
      </c>
    </row>
    <row r="360" spans="1:3" x14ac:dyDescent="0.25">
      <c r="A360" s="585">
        <v>1462</v>
      </c>
      <c r="B360" s="585" t="s">
        <v>1224</v>
      </c>
      <c r="C360" s="585" t="s">
        <v>1225</v>
      </c>
    </row>
    <row r="361" spans="1:3" x14ac:dyDescent="0.25">
      <c r="A361" s="585">
        <v>1469</v>
      </c>
      <c r="B361" s="585" t="s">
        <v>1226</v>
      </c>
      <c r="C361" s="585" t="s">
        <v>1227</v>
      </c>
    </row>
    <row r="362" spans="1:3" x14ac:dyDescent="0.25">
      <c r="A362" s="585">
        <v>1479</v>
      </c>
      <c r="B362" s="585" t="s">
        <v>1228</v>
      </c>
      <c r="C362" s="585" t="s">
        <v>1228</v>
      </c>
    </row>
    <row r="363" spans="1:3" x14ac:dyDescent="0.25">
      <c r="A363" s="585">
        <v>1486</v>
      </c>
      <c r="B363" s="585" t="s">
        <v>1229</v>
      </c>
      <c r="C363" s="585" t="s">
        <v>1230</v>
      </c>
    </row>
    <row r="364" spans="1:3" x14ac:dyDescent="0.25">
      <c r="A364" s="585">
        <v>1498</v>
      </c>
      <c r="B364" s="585" t="s">
        <v>1231</v>
      </c>
      <c r="C364" s="585" t="s">
        <v>1232</v>
      </c>
    </row>
    <row r="365" spans="1:3" x14ac:dyDescent="0.25">
      <c r="A365" s="585">
        <v>1509</v>
      </c>
      <c r="B365" s="585" t="s">
        <v>1233</v>
      </c>
      <c r="C365" s="585" t="s">
        <v>1234</v>
      </c>
    </row>
    <row r="366" spans="1:3" x14ac:dyDescent="0.25">
      <c r="A366" s="585">
        <v>1518</v>
      </c>
      <c r="B366" s="585" t="s">
        <v>1235</v>
      </c>
      <c r="C366" s="585" t="s">
        <v>1235</v>
      </c>
    </row>
    <row r="367" spans="1:3" x14ac:dyDescent="0.25">
      <c r="A367" s="585">
        <v>1528</v>
      </c>
      <c r="B367" s="585" t="s">
        <v>1236</v>
      </c>
      <c r="C367" s="585" t="s">
        <v>1237</v>
      </c>
    </row>
    <row r="368" spans="1:3" x14ac:dyDescent="0.25">
      <c r="A368" s="585">
        <v>1533</v>
      </c>
      <c r="B368" s="585" t="s">
        <v>1238</v>
      </c>
      <c r="C368" s="585" t="s">
        <v>1239</v>
      </c>
    </row>
    <row r="369" spans="1:3" x14ac:dyDescent="0.25">
      <c r="A369" s="585">
        <v>1536</v>
      </c>
      <c r="B369" s="585" t="s">
        <v>1240</v>
      </c>
      <c r="C369" s="585" t="s">
        <v>1241</v>
      </c>
    </row>
    <row r="370" spans="1:3" x14ac:dyDescent="0.25">
      <c r="A370" s="585">
        <v>1549</v>
      </c>
      <c r="B370" s="585" t="s">
        <v>1242</v>
      </c>
      <c r="C370" s="585" t="s">
        <v>1242</v>
      </c>
    </row>
    <row r="371" spans="1:3" x14ac:dyDescent="0.25">
      <c r="A371" s="585">
        <v>1552</v>
      </c>
      <c r="B371" s="585" t="s">
        <v>1243</v>
      </c>
      <c r="C371" s="585" t="s">
        <v>1244</v>
      </c>
    </row>
    <row r="372" spans="1:3" x14ac:dyDescent="0.25">
      <c r="A372" s="585">
        <v>1609</v>
      </c>
      <c r="B372" s="585" t="s">
        <v>1245</v>
      </c>
      <c r="C372" s="585" t="s">
        <v>1246</v>
      </c>
    </row>
    <row r="373" spans="1:3" x14ac:dyDescent="0.25">
      <c r="A373" s="585">
        <v>1927</v>
      </c>
      <c r="B373" s="585" t="s">
        <v>1247</v>
      </c>
      <c r="C373" s="585" t="s">
        <v>1248</v>
      </c>
    </row>
    <row r="374" spans="1:3" x14ac:dyDescent="0.25">
      <c r="A374" s="585">
        <v>1932</v>
      </c>
      <c r="B374" s="585" t="s">
        <v>1249</v>
      </c>
      <c r="C374" s="585" t="s">
        <v>1250</v>
      </c>
    </row>
    <row r="375" spans="1:3" x14ac:dyDescent="0.25">
      <c r="A375" s="585">
        <v>1934</v>
      </c>
      <c r="B375" s="585" t="s">
        <v>1251</v>
      </c>
      <c r="C375" s="585" t="s">
        <v>1252</v>
      </c>
    </row>
    <row r="376" spans="1:3" x14ac:dyDescent="0.25">
      <c r="A376" s="585">
        <v>1945</v>
      </c>
      <c r="B376" s="585" t="s">
        <v>1253</v>
      </c>
      <c r="C376" s="585" t="s">
        <v>1253</v>
      </c>
    </row>
    <row r="377" spans="1:3" x14ac:dyDescent="0.25">
      <c r="A377" s="585">
        <v>1952</v>
      </c>
      <c r="B377" s="585" t="s">
        <v>1254</v>
      </c>
      <c r="C377" s="585" t="s">
        <v>1255</v>
      </c>
    </row>
    <row r="378" spans="1:3" x14ac:dyDescent="0.25">
      <c r="A378" s="585">
        <v>1959</v>
      </c>
      <c r="B378" s="585" t="s">
        <v>1256</v>
      </c>
      <c r="C378" s="585" t="s">
        <v>1257</v>
      </c>
    </row>
    <row r="379" spans="1:3" x14ac:dyDescent="0.25">
      <c r="A379" s="585">
        <v>1972</v>
      </c>
      <c r="B379" s="585" t="s">
        <v>1258</v>
      </c>
      <c r="C379" s="585" t="s">
        <v>1259</v>
      </c>
    </row>
    <row r="380" spans="1:3" x14ac:dyDescent="0.25">
      <c r="A380" s="585">
        <v>1975</v>
      </c>
      <c r="B380" s="585" t="s">
        <v>1260</v>
      </c>
      <c r="C380" s="585" t="s">
        <v>1260</v>
      </c>
    </row>
    <row r="381" spans="1:3" x14ac:dyDescent="0.25">
      <c r="A381" s="585">
        <v>1977</v>
      </c>
      <c r="B381" s="585" t="s">
        <v>1261</v>
      </c>
      <c r="C381" s="585" t="s">
        <v>1262</v>
      </c>
    </row>
    <row r="382" spans="1:3" x14ac:dyDescent="0.25">
      <c r="A382" s="585">
        <v>1988</v>
      </c>
      <c r="B382" s="585" t="s">
        <v>1263</v>
      </c>
      <c r="C382" s="585" t="s">
        <v>1264</v>
      </c>
    </row>
    <row r="383" spans="1:3" x14ac:dyDescent="0.25">
      <c r="A383" s="585">
        <v>1997</v>
      </c>
      <c r="B383" s="585" t="s">
        <v>1265</v>
      </c>
      <c r="C383" s="585" t="s">
        <v>1265</v>
      </c>
    </row>
    <row r="384" spans="1:3" x14ac:dyDescent="0.25">
      <c r="A384" s="585">
        <v>1998</v>
      </c>
      <c r="B384" s="585" t="s">
        <v>1266</v>
      </c>
      <c r="C384" s="585" t="s">
        <v>1267</v>
      </c>
    </row>
    <row r="385" spans="1:3" x14ac:dyDescent="0.25">
      <c r="A385" s="585">
        <v>2019</v>
      </c>
      <c r="B385" s="585" t="s">
        <v>1268</v>
      </c>
      <c r="C385" s="585" t="s">
        <v>1268</v>
      </c>
    </row>
    <row r="386" spans="1:3" x14ac:dyDescent="0.25">
      <c r="A386" s="585">
        <v>2028</v>
      </c>
      <c r="B386" s="585" t="s">
        <v>1269</v>
      </c>
      <c r="C386" s="585" t="s">
        <v>1269</v>
      </c>
    </row>
    <row r="387" spans="1:3" x14ac:dyDescent="0.25">
      <c r="A387" s="585">
        <v>2038</v>
      </c>
      <c r="B387" s="585" t="s">
        <v>1270</v>
      </c>
      <c r="C387" s="585" t="s">
        <v>1271</v>
      </c>
    </row>
    <row r="388" spans="1:3" x14ac:dyDescent="0.25">
      <c r="A388" s="585">
        <v>2043</v>
      </c>
      <c r="B388" s="585" t="s">
        <v>1272</v>
      </c>
      <c r="C388" s="585" t="s">
        <v>1273</v>
      </c>
    </row>
    <row r="389" spans="1:3" x14ac:dyDescent="0.25">
      <c r="A389" s="585">
        <v>2045</v>
      </c>
      <c r="B389" s="585" t="s">
        <v>1274</v>
      </c>
      <c r="C389" s="585" t="s">
        <v>1275</v>
      </c>
    </row>
    <row r="390" spans="1:3" x14ac:dyDescent="0.25">
      <c r="A390" s="585">
        <v>2046</v>
      </c>
      <c r="B390" s="585" t="s">
        <v>1276</v>
      </c>
      <c r="C390" s="585" t="s">
        <v>1276</v>
      </c>
    </row>
    <row r="391" spans="1:3" x14ac:dyDescent="0.25">
      <c r="A391" s="585">
        <v>2047</v>
      </c>
      <c r="B391" s="585" t="s">
        <v>1277</v>
      </c>
      <c r="C391" s="585" t="s">
        <v>1278</v>
      </c>
    </row>
    <row r="392" spans="1:3" x14ac:dyDescent="0.25">
      <c r="A392" s="585">
        <v>2051</v>
      </c>
      <c r="B392" s="585" t="s">
        <v>1279</v>
      </c>
      <c r="C392" s="585" t="s">
        <v>1280</v>
      </c>
    </row>
    <row r="393" spans="1:3" x14ac:dyDescent="0.25">
      <c r="A393" s="585">
        <v>2052</v>
      </c>
      <c r="B393" s="585" t="s">
        <v>1281</v>
      </c>
      <c r="C393" s="585" t="s">
        <v>1282</v>
      </c>
    </row>
    <row r="394" spans="1:3" x14ac:dyDescent="0.25">
      <c r="A394" s="585">
        <v>2053</v>
      </c>
      <c r="B394" s="585" t="s">
        <v>1283</v>
      </c>
      <c r="C394" s="585" t="s">
        <v>1284</v>
      </c>
    </row>
    <row r="395" spans="1:3" x14ac:dyDescent="0.25">
      <c r="A395" s="585">
        <v>2054</v>
      </c>
      <c r="B395" s="585" t="s">
        <v>1285</v>
      </c>
      <c r="C395" s="585" t="s">
        <v>1286</v>
      </c>
    </row>
    <row r="396" spans="1:3" x14ac:dyDescent="0.25">
      <c r="A396" s="585">
        <v>2055</v>
      </c>
      <c r="B396" s="585" t="s">
        <v>1287</v>
      </c>
      <c r="C396" s="585" t="s">
        <v>1288</v>
      </c>
    </row>
    <row r="397" spans="1:3" x14ac:dyDescent="0.25">
      <c r="A397" s="585">
        <v>2065</v>
      </c>
      <c r="B397" s="585" t="s">
        <v>1289</v>
      </c>
      <c r="C397" s="585" t="s">
        <v>1290</v>
      </c>
    </row>
    <row r="398" spans="1:3" x14ac:dyDescent="0.25">
      <c r="A398" s="585">
        <v>2069</v>
      </c>
      <c r="B398" s="585" t="s">
        <v>1291</v>
      </c>
      <c r="C398" s="585" t="s">
        <v>1292</v>
      </c>
    </row>
    <row r="399" spans="1:3" x14ac:dyDescent="0.25">
      <c r="A399" s="585">
        <v>2070</v>
      </c>
      <c r="B399" s="585" t="s">
        <v>1293</v>
      </c>
      <c r="C399" s="585" t="s">
        <v>1294</v>
      </c>
    </row>
    <row r="400" spans="1:3" x14ac:dyDescent="0.25">
      <c r="A400" s="585">
        <v>2076</v>
      </c>
      <c r="B400" s="585" t="s">
        <v>1295</v>
      </c>
      <c r="C400" s="585" t="s">
        <v>1295</v>
      </c>
    </row>
    <row r="401" spans="1:3" x14ac:dyDescent="0.25">
      <c r="A401" s="585">
        <v>2082</v>
      </c>
      <c r="B401" s="585" t="s">
        <v>1296</v>
      </c>
      <c r="C401" s="585" t="s">
        <v>1297</v>
      </c>
    </row>
    <row r="402" spans="1:3" x14ac:dyDescent="0.25">
      <c r="A402" s="585">
        <v>2085</v>
      </c>
      <c r="B402" s="585" t="s">
        <v>1298</v>
      </c>
      <c r="C402" s="585" t="s">
        <v>1298</v>
      </c>
    </row>
    <row r="403" spans="1:3" x14ac:dyDescent="0.25">
      <c r="A403" s="585">
        <v>2092</v>
      </c>
      <c r="B403" s="585" t="s">
        <v>1299</v>
      </c>
      <c r="C403" s="585" t="s">
        <v>1300</v>
      </c>
    </row>
    <row r="404" spans="1:3" x14ac:dyDescent="0.25">
      <c r="A404" s="585">
        <v>2104</v>
      </c>
      <c r="B404" s="585" t="s">
        <v>1301</v>
      </c>
      <c r="C404" s="585" t="s">
        <v>1302</v>
      </c>
    </row>
    <row r="405" spans="1:3" x14ac:dyDescent="0.25">
      <c r="A405" s="585">
        <v>2109</v>
      </c>
      <c r="B405" s="585" t="s">
        <v>1303</v>
      </c>
      <c r="C405" s="585" t="s">
        <v>1304</v>
      </c>
    </row>
    <row r="406" spans="1:3" x14ac:dyDescent="0.25">
      <c r="A406" s="585">
        <v>2117</v>
      </c>
      <c r="B406" s="585" t="s">
        <v>1305</v>
      </c>
      <c r="C406" s="585" t="s">
        <v>1306</v>
      </c>
    </row>
    <row r="407" spans="1:3" x14ac:dyDescent="0.25">
      <c r="A407" s="585">
        <v>2123</v>
      </c>
      <c r="B407" s="585" t="s">
        <v>1307</v>
      </c>
      <c r="C407" s="585" t="s">
        <v>1308</v>
      </c>
    </row>
    <row r="408" spans="1:3" x14ac:dyDescent="0.25">
      <c r="A408" s="585">
        <v>2133</v>
      </c>
      <c r="B408" s="585" t="s">
        <v>1309</v>
      </c>
      <c r="C408" s="585" t="s">
        <v>1310</v>
      </c>
    </row>
    <row r="409" spans="1:3" x14ac:dyDescent="0.25">
      <c r="A409" s="585">
        <v>2146</v>
      </c>
      <c r="B409" s="585" t="s">
        <v>1311</v>
      </c>
      <c r="C409" s="585" t="s">
        <v>1311</v>
      </c>
    </row>
    <row r="410" spans="1:3" x14ac:dyDescent="0.25">
      <c r="A410" s="585">
        <v>2155</v>
      </c>
      <c r="B410" s="585" t="s">
        <v>1312</v>
      </c>
      <c r="C410" s="585" t="s">
        <v>1312</v>
      </c>
    </row>
    <row r="411" spans="1:3" x14ac:dyDescent="0.25">
      <c r="A411" s="585">
        <v>2158</v>
      </c>
      <c r="B411" s="585" t="s">
        <v>1313</v>
      </c>
      <c r="C411" s="585" t="s">
        <v>1314</v>
      </c>
    </row>
    <row r="412" spans="1:3" x14ac:dyDescent="0.25">
      <c r="A412" s="585">
        <v>2164</v>
      </c>
      <c r="B412" s="585" t="s">
        <v>1315</v>
      </c>
      <c r="C412" s="585" t="s">
        <v>1316</v>
      </c>
    </row>
    <row r="413" spans="1:3" x14ac:dyDescent="0.25">
      <c r="A413" s="585">
        <v>2167</v>
      </c>
      <c r="B413" s="585" t="s">
        <v>1317</v>
      </c>
      <c r="C413" s="585" t="s">
        <v>1318</v>
      </c>
    </row>
    <row r="414" spans="1:3" x14ac:dyDescent="0.25">
      <c r="A414" s="585">
        <v>2173</v>
      </c>
      <c r="B414" s="585" t="s">
        <v>1319</v>
      </c>
      <c r="C414" s="585" t="s">
        <v>1320</v>
      </c>
    </row>
    <row r="415" spans="1:3" x14ac:dyDescent="0.25">
      <c r="A415" s="585">
        <v>2176</v>
      </c>
      <c r="B415" s="585" t="s">
        <v>1321</v>
      </c>
      <c r="C415" s="585" t="s">
        <v>1322</v>
      </c>
    </row>
    <row r="416" spans="1:3" x14ac:dyDescent="0.25">
      <c r="A416" s="585">
        <v>2187</v>
      </c>
      <c r="B416" s="585" t="s">
        <v>1323</v>
      </c>
      <c r="C416" s="585" t="s">
        <v>1324</v>
      </c>
    </row>
    <row r="417" spans="1:3" x14ac:dyDescent="0.25">
      <c r="A417" s="585">
        <v>2192</v>
      </c>
      <c r="B417" s="585" t="s">
        <v>1325</v>
      </c>
      <c r="C417" s="585" t="s">
        <v>1325</v>
      </c>
    </row>
    <row r="418" spans="1:3" x14ac:dyDescent="0.25">
      <c r="A418" s="585">
        <v>2195</v>
      </c>
      <c r="B418" s="585" t="s">
        <v>1326</v>
      </c>
      <c r="C418" s="585" t="s">
        <v>1326</v>
      </c>
    </row>
    <row r="419" spans="1:3" x14ac:dyDescent="0.25">
      <c r="A419" s="585">
        <v>2196</v>
      </c>
      <c r="B419" s="585" t="s">
        <v>1327</v>
      </c>
      <c r="C419" s="585" t="s">
        <v>1328</v>
      </c>
    </row>
    <row r="420" spans="1:3" x14ac:dyDescent="0.25">
      <c r="A420" s="585">
        <v>2197</v>
      </c>
      <c r="B420" s="585"/>
      <c r="C420" s="585" t="s">
        <v>1329</v>
      </c>
    </row>
    <row r="421" spans="1:3" x14ac:dyDescent="0.25">
      <c r="A421" s="585">
        <v>2225</v>
      </c>
      <c r="B421" s="585" t="s">
        <v>1330</v>
      </c>
      <c r="C421" s="585" t="s">
        <v>1331</v>
      </c>
    </row>
    <row r="422" spans="1:3" x14ac:dyDescent="0.25">
      <c r="A422" s="585">
        <v>2238</v>
      </c>
      <c r="B422" s="585" t="s">
        <v>1332</v>
      </c>
      <c r="C422" s="585" t="s">
        <v>1332</v>
      </c>
    </row>
    <row r="423" spans="1:3" x14ac:dyDescent="0.25">
      <c r="A423" s="585">
        <v>2262</v>
      </c>
      <c r="B423" s="585"/>
      <c r="C423" s="585" t="s">
        <v>1333</v>
      </c>
    </row>
    <row r="424" spans="1:3" x14ac:dyDescent="0.25">
      <c r="A424" s="585">
        <v>2263</v>
      </c>
      <c r="B424" s="585"/>
      <c r="C424" s="585" t="s">
        <v>1334</v>
      </c>
    </row>
    <row r="425" spans="1:3" x14ac:dyDescent="0.25">
      <c r="A425" s="585">
        <v>2273</v>
      </c>
      <c r="B425" s="585"/>
      <c r="C425" s="585" t="s">
        <v>1335</v>
      </c>
    </row>
    <row r="426" spans="1:3" x14ac:dyDescent="0.25">
      <c r="A426" s="585">
        <v>2290</v>
      </c>
      <c r="B426" s="585"/>
      <c r="C426" s="585" t="s">
        <v>1336</v>
      </c>
    </row>
    <row r="427" spans="1:3" x14ac:dyDescent="0.25">
      <c r="A427" s="585">
        <v>2293</v>
      </c>
      <c r="B427" s="585" t="s">
        <v>1337</v>
      </c>
      <c r="C427" s="585" t="s">
        <v>1337</v>
      </c>
    </row>
    <row r="428" spans="1:3" x14ac:dyDescent="0.25">
      <c r="A428" s="585">
        <v>2299</v>
      </c>
      <c r="B428" s="585"/>
      <c r="C428" s="585" t="s">
        <v>1338</v>
      </c>
    </row>
    <row r="429" spans="1:3" x14ac:dyDescent="0.25">
      <c r="A429" s="585">
        <v>2311</v>
      </c>
      <c r="B429" s="585"/>
      <c r="C429" s="585" t="s">
        <v>1339</v>
      </c>
    </row>
    <row r="430" spans="1:3" x14ac:dyDescent="0.25">
      <c r="A430" s="585">
        <v>2312</v>
      </c>
      <c r="B430" s="585"/>
      <c r="C430" s="585" t="s">
        <v>1340</v>
      </c>
    </row>
    <row r="431" spans="1:3" x14ac:dyDescent="0.25">
      <c r="A431" s="585">
        <v>2331</v>
      </c>
      <c r="B431" s="585"/>
      <c r="C431" s="585" t="s">
        <v>1341</v>
      </c>
    </row>
    <row r="432" spans="1:3" x14ac:dyDescent="0.25">
      <c r="A432" s="585">
        <v>2332</v>
      </c>
      <c r="B432" s="585"/>
      <c r="C432" s="585" t="s">
        <v>1342</v>
      </c>
    </row>
    <row r="433" spans="1:3" x14ac:dyDescent="0.25">
      <c r="A433" s="585">
        <v>2339</v>
      </c>
      <c r="B433" s="585" t="s">
        <v>1343</v>
      </c>
      <c r="C433" s="585" t="s">
        <v>1343</v>
      </c>
    </row>
    <row r="434" spans="1:3" x14ac:dyDescent="0.25">
      <c r="A434" s="585">
        <v>2340</v>
      </c>
      <c r="B434" s="585" t="s">
        <v>1344</v>
      </c>
      <c r="C434" s="585" t="s">
        <v>1345</v>
      </c>
    </row>
    <row r="435" spans="1:3" x14ac:dyDescent="0.25">
      <c r="A435" s="585">
        <v>2345</v>
      </c>
      <c r="B435" s="585" t="s">
        <v>1346</v>
      </c>
      <c r="C435" s="585" t="s">
        <v>1347</v>
      </c>
    </row>
    <row r="436" spans="1:3" x14ac:dyDescent="0.25">
      <c r="A436" s="585">
        <v>2347</v>
      </c>
      <c r="B436" s="585"/>
      <c r="C436" s="585" t="s">
        <v>1348</v>
      </c>
    </row>
    <row r="437" spans="1:3" x14ac:dyDescent="0.25">
      <c r="A437" s="585">
        <v>2351</v>
      </c>
      <c r="B437" s="585" t="s">
        <v>3294</v>
      </c>
      <c r="C437" s="585" t="s">
        <v>1350</v>
      </c>
    </row>
    <row r="438" spans="1:3" x14ac:dyDescent="0.25">
      <c r="A438" s="585">
        <v>2354</v>
      </c>
      <c r="B438" s="585"/>
      <c r="C438" s="585" t="s">
        <v>1351</v>
      </c>
    </row>
    <row r="439" spans="1:3" x14ac:dyDescent="0.25">
      <c r="A439" s="585">
        <v>2360</v>
      </c>
      <c r="B439" s="585" t="s">
        <v>1352</v>
      </c>
      <c r="C439" s="585" t="s">
        <v>1353</v>
      </c>
    </row>
    <row r="440" spans="1:3" x14ac:dyDescent="0.25">
      <c r="A440" s="585">
        <v>2361</v>
      </c>
      <c r="B440" s="585"/>
      <c r="C440" s="585" t="s">
        <v>1354</v>
      </c>
    </row>
    <row r="441" spans="1:3" x14ac:dyDescent="0.25">
      <c r="A441" s="585">
        <v>2381</v>
      </c>
      <c r="B441" s="585" t="s">
        <v>3295</v>
      </c>
      <c r="C441" s="585" t="s">
        <v>1355</v>
      </c>
    </row>
    <row r="442" spans="1:3" x14ac:dyDescent="0.25">
      <c r="A442" s="585">
        <v>2393</v>
      </c>
      <c r="B442" s="585"/>
      <c r="C442" s="585" t="s">
        <v>1356</v>
      </c>
    </row>
    <row r="443" spans="1:3" x14ac:dyDescent="0.25">
      <c r="A443" s="585">
        <v>2396</v>
      </c>
      <c r="B443" s="585"/>
      <c r="C443" s="585" t="s">
        <v>1357</v>
      </c>
    </row>
    <row r="444" spans="1:3" x14ac:dyDescent="0.25">
      <c r="A444" s="585">
        <v>2398</v>
      </c>
      <c r="B444" s="585" t="s">
        <v>1358</v>
      </c>
      <c r="C444" s="585" t="s">
        <v>1358</v>
      </c>
    </row>
    <row r="445" spans="1:3" x14ac:dyDescent="0.25">
      <c r="A445" s="585">
        <v>2418</v>
      </c>
      <c r="B445" s="585"/>
      <c r="C445" s="585" t="s">
        <v>1359</v>
      </c>
    </row>
    <row r="446" spans="1:3" x14ac:dyDescent="0.25">
      <c r="A446" s="585">
        <v>2428</v>
      </c>
      <c r="B446" s="585" t="s">
        <v>1360</v>
      </c>
      <c r="C446" s="585" t="s">
        <v>1360</v>
      </c>
    </row>
    <row r="447" spans="1:3" x14ac:dyDescent="0.25">
      <c r="A447" s="585">
        <v>2476</v>
      </c>
      <c r="B447" s="585"/>
      <c r="C447" s="585" t="s">
        <v>1361</v>
      </c>
    </row>
    <row r="448" spans="1:3" x14ac:dyDescent="0.25">
      <c r="A448" s="585">
        <v>2481</v>
      </c>
      <c r="B448" s="585"/>
      <c r="C448" s="585" t="s">
        <v>1362</v>
      </c>
    </row>
    <row r="449" spans="1:3" x14ac:dyDescent="0.25">
      <c r="A449" s="585">
        <v>2483</v>
      </c>
      <c r="B449" s="585"/>
      <c r="C449" s="585" t="s">
        <v>1363</v>
      </c>
    </row>
    <row r="450" spans="1:3" x14ac:dyDescent="0.25">
      <c r="A450" s="585">
        <v>2491</v>
      </c>
      <c r="B450" s="585"/>
      <c r="C450" s="585" t="s">
        <v>1364</v>
      </c>
    </row>
    <row r="451" spans="1:3" x14ac:dyDescent="0.25">
      <c r="A451" s="585">
        <v>2513</v>
      </c>
      <c r="B451" s="585" t="s">
        <v>1365</v>
      </c>
      <c r="C451" s="585" t="s">
        <v>1366</v>
      </c>
    </row>
    <row r="452" spans="1:3" x14ac:dyDescent="0.25">
      <c r="A452" s="585">
        <v>2514</v>
      </c>
      <c r="B452" s="585" t="s">
        <v>1367</v>
      </c>
      <c r="C452" s="585" t="s">
        <v>1367</v>
      </c>
    </row>
    <row r="453" spans="1:3" x14ac:dyDescent="0.25">
      <c r="A453" s="585">
        <v>2534</v>
      </c>
      <c r="B453" s="585" t="s">
        <v>1368</v>
      </c>
      <c r="C453" s="585" t="s">
        <v>1369</v>
      </c>
    </row>
    <row r="454" spans="1:3" x14ac:dyDescent="0.25">
      <c r="A454" s="585">
        <v>2535</v>
      </c>
      <c r="B454" s="585" t="s">
        <v>1370</v>
      </c>
      <c r="C454" s="585" t="s">
        <v>1371</v>
      </c>
    </row>
    <row r="455" spans="1:3" x14ac:dyDescent="0.25">
      <c r="A455" s="585">
        <v>2537</v>
      </c>
      <c r="B455" s="585" t="s">
        <v>1372</v>
      </c>
      <c r="C455" s="585" t="s">
        <v>1373</v>
      </c>
    </row>
    <row r="456" spans="1:3" x14ac:dyDescent="0.25">
      <c r="A456" s="585">
        <v>2547</v>
      </c>
      <c r="B456" s="585" t="s">
        <v>1374</v>
      </c>
      <c r="C456" s="585" t="s">
        <v>1375</v>
      </c>
    </row>
    <row r="457" spans="1:3" x14ac:dyDescent="0.25">
      <c r="A457" s="585">
        <v>2553</v>
      </c>
      <c r="B457" s="585" t="s">
        <v>1376</v>
      </c>
      <c r="C457" s="585" t="s">
        <v>1376</v>
      </c>
    </row>
    <row r="458" spans="1:3" x14ac:dyDescent="0.25">
      <c r="A458" s="585">
        <v>2555</v>
      </c>
      <c r="B458" s="585" t="s">
        <v>1377</v>
      </c>
      <c r="C458" s="585" t="s">
        <v>1378</v>
      </c>
    </row>
    <row r="459" spans="1:3" x14ac:dyDescent="0.25">
      <c r="A459" s="585">
        <v>2560</v>
      </c>
      <c r="B459" s="585"/>
      <c r="C459" s="585" t="s">
        <v>1379</v>
      </c>
    </row>
    <row r="460" spans="1:3" x14ac:dyDescent="0.25">
      <c r="A460" s="585">
        <v>2565</v>
      </c>
      <c r="B460" s="585"/>
      <c r="C460" s="585" t="s">
        <v>1380</v>
      </c>
    </row>
    <row r="461" spans="1:3" x14ac:dyDescent="0.25">
      <c r="A461" s="585">
        <v>2570</v>
      </c>
      <c r="B461" s="585" t="s">
        <v>1381</v>
      </c>
      <c r="C461" s="585" t="s">
        <v>1381</v>
      </c>
    </row>
    <row r="462" spans="1:3" x14ac:dyDescent="0.25">
      <c r="A462" s="585">
        <v>2572</v>
      </c>
      <c r="B462" s="585" t="s">
        <v>1382</v>
      </c>
      <c r="C462" s="585" t="s">
        <v>1382</v>
      </c>
    </row>
    <row r="463" spans="1:3" x14ac:dyDescent="0.25">
      <c r="A463" s="585">
        <v>2581</v>
      </c>
      <c r="B463" s="585" t="s">
        <v>1383</v>
      </c>
      <c r="C463" s="585" t="s">
        <v>1383</v>
      </c>
    </row>
    <row r="464" spans="1:3" x14ac:dyDescent="0.25">
      <c r="A464" s="585">
        <v>2607</v>
      </c>
      <c r="B464" s="585"/>
      <c r="C464" s="585" t="s">
        <v>1384</v>
      </c>
    </row>
    <row r="465" spans="1:3" x14ac:dyDescent="0.25">
      <c r="A465" s="585">
        <v>2631</v>
      </c>
      <c r="B465" s="585"/>
      <c r="C465" s="585" t="s">
        <v>1385</v>
      </c>
    </row>
    <row r="466" spans="1:3" x14ac:dyDescent="0.25">
      <c r="A466" s="585">
        <v>2637</v>
      </c>
      <c r="B466" s="585"/>
      <c r="C466" s="585" t="s">
        <v>1386</v>
      </c>
    </row>
    <row r="467" spans="1:3" x14ac:dyDescent="0.25">
      <c r="A467" s="585">
        <v>2642</v>
      </c>
      <c r="B467" s="585" t="s">
        <v>1387</v>
      </c>
      <c r="C467" s="585" t="s">
        <v>1387</v>
      </c>
    </row>
    <row r="468" spans="1:3" x14ac:dyDescent="0.25">
      <c r="A468" s="585">
        <v>2648</v>
      </c>
      <c r="B468" s="585" t="s">
        <v>1388</v>
      </c>
      <c r="C468" s="585" t="s">
        <v>1389</v>
      </c>
    </row>
    <row r="469" spans="1:3" x14ac:dyDescent="0.25">
      <c r="A469" s="585">
        <v>2654</v>
      </c>
      <c r="B469" s="585" t="s">
        <v>1390</v>
      </c>
      <c r="C469" s="585" t="s">
        <v>1390</v>
      </c>
    </row>
    <row r="470" spans="1:3" x14ac:dyDescent="0.25">
      <c r="A470" s="585">
        <v>2656</v>
      </c>
      <c r="B470" s="585" t="s">
        <v>1391</v>
      </c>
      <c r="C470" s="585" t="s">
        <v>1392</v>
      </c>
    </row>
    <row r="471" spans="1:3" x14ac:dyDescent="0.25">
      <c r="A471" s="585">
        <v>2665</v>
      </c>
      <c r="B471" s="585" t="s">
        <v>1393</v>
      </c>
      <c r="C471" s="585" t="s">
        <v>1393</v>
      </c>
    </row>
    <row r="472" spans="1:3" x14ac:dyDescent="0.25">
      <c r="A472" s="585">
        <v>2682</v>
      </c>
      <c r="B472" s="585" t="s">
        <v>1394</v>
      </c>
      <c r="C472" s="585" t="s">
        <v>1395</v>
      </c>
    </row>
    <row r="473" spans="1:3" x14ac:dyDescent="0.25">
      <c r="A473" s="585">
        <v>2683</v>
      </c>
      <c r="B473" s="585" t="s">
        <v>1396</v>
      </c>
      <c r="C473" s="585" t="s">
        <v>1396</v>
      </c>
    </row>
    <row r="474" spans="1:3" x14ac:dyDescent="0.25">
      <c r="A474" s="585">
        <v>2693</v>
      </c>
      <c r="B474" s="585" t="s">
        <v>1397</v>
      </c>
      <c r="C474" s="585" t="s">
        <v>1398</v>
      </c>
    </row>
    <row r="475" spans="1:3" x14ac:dyDescent="0.25">
      <c r="A475" s="585">
        <v>2696</v>
      </c>
      <c r="B475" s="585" t="s">
        <v>1399</v>
      </c>
      <c r="C475" s="585" t="s">
        <v>1400</v>
      </c>
    </row>
    <row r="476" spans="1:3" x14ac:dyDescent="0.25">
      <c r="A476" s="585">
        <v>2699</v>
      </c>
      <c r="B476" s="585" t="s">
        <v>1401</v>
      </c>
      <c r="C476" s="585" t="s">
        <v>1402</v>
      </c>
    </row>
    <row r="477" spans="1:3" x14ac:dyDescent="0.25">
      <c r="A477" s="585">
        <v>2703</v>
      </c>
      <c r="B477" s="585"/>
      <c r="C477" s="585" t="s">
        <v>1403</v>
      </c>
    </row>
    <row r="478" spans="1:3" x14ac:dyDescent="0.25">
      <c r="A478" s="585">
        <v>2710</v>
      </c>
      <c r="B478" s="585"/>
      <c r="C478" s="585" t="s">
        <v>1404</v>
      </c>
    </row>
    <row r="479" spans="1:3" x14ac:dyDescent="0.25">
      <c r="A479" s="585">
        <v>2722</v>
      </c>
      <c r="B479" s="585" t="s">
        <v>1405</v>
      </c>
      <c r="C479" s="585" t="s">
        <v>1405</v>
      </c>
    </row>
    <row r="480" spans="1:3" x14ac:dyDescent="0.25">
      <c r="A480" s="585">
        <v>2724</v>
      </c>
      <c r="B480" s="585"/>
      <c r="C480" s="585" t="s">
        <v>1406</v>
      </c>
    </row>
    <row r="481" spans="1:3" x14ac:dyDescent="0.25">
      <c r="A481" s="585">
        <v>2728</v>
      </c>
      <c r="B481" s="585"/>
      <c r="C481" s="585" t="s">
        <v>1407</v>
      </c>
    </row>
    <row r="482" spans="1:3" x14ac:dyDescent="0.25">
      <c r="A482" s="585">
        <v>2730</v>
      </c>
      <c r="B482" s="585"/>
      <c r="C482" s="585" t="s">
        <v>1408</v>
      </c>
    </row>
    <row r="483" spans="1:3" x14ac:dyDescent="0.25">
      <c r="A483" s="585">
        <v>2751</v>
      </c>
      <c r="B483" s="585" t="s">
        <v>1409</v>
      </c>
      <c r="C483" s="585" t="s">
        <v>1410</v>
      </c>
    </row>
    <row r="484" spans="1:3" x14ac:dyDescent="0.25">
      <c r="A484" s="585">
        <v>2754</v>
      </c>
      <c r="B484" s="585" t="s">
        <v>1411</v>
      </c>
      <c r="C484" s="585" t="s">
        <v>1411</v>
      </c>
    </row>
    <row r="485" spans="1:3" x14ac:dyDescent="0.25">
      <c r="A485" s="585">
        <v>2756</v>
      </c>
      <c r="B485" s="585" t="s">
        <v>1412</v>
      </c>
      <c r="C485" s="585" t="s">
        <v>1412</v>
      </c>
    </row>
    <row r="486" spans="1:3" x14ac:dyDescent="0.25">
      <c r="A486" s="585">
        <v>2757</v>
      </c>
      <c r="B486" s="585" t="s">
        <v>1413</v>
      </c>
      <c r="C486" s="585" t="s">
        <v>1414</v>
      </c>
    </row>
    <row r="487" spans="1:3" x14ac:dyDescent="0.25">
      <c r="A487" s="585">
        <v>2762</v>
      </c>
      <c r="B487" s="585" t="s">
        <v>1415</v>
      </c>
      <c r="C487" s="585" t="s">
        <v>1415</v>
      </c>
    </row>
    <row r="488" spans="1:3" x14ac:dyDescent="0.25">
      <c r="A488" s="585">
        <v>2763</v>
      </c>
      <c r="B488" s="585" t="s">
        <v>3296</v>
      </c>
      <c r="C488" s="585" t="s">
        <v>1416</v>
      </c>
    </row>
    <row r="489" spans="1:3" x14ac:dyDescent="0.25">
      <c r="A489" s="585">
        <v>2781</v>
      </c>
      <c r="B489" s="585" t="s">
        <v>1417</v>
      </c>
      <c r="C489" s="585" t="s">
        <v>1418</v>
      </c>
    </row>
    <row r="490" spans="1:3" x14ac:dyDescent="0.25">
      <c r="A490" s="585">
        <v>2782</v>
      </c>
      <c r="B490" s="585" t="s">
        <v>1419</v>
      </c>
      <c r="C490" s="585" t="s">
        <v>1420</v>
      </c>
    </row>
    <row r="491" spans="1:3" x14ac:dyDescent="0.25">
      <c r="A491" s="585">
        <v>2783</v>
      </c>
      <c r="B491" s="585" t="s">
        <v>3297</v>
      </c>
      <c r="C491" s="585" t="s">
        <v>1421</v>
      </c>
    </row>
    <row r="492" spans="1:3" x14ac:dyDescent="0.25">
      <c r="A492" s="585">
        <v>2787</v>
      </c>
      <c r="B492" s="585" t="s">
        <v>1422</v>
      </c>
      <c r="C492" s="585" t="s">
        <v>1423</v>
      </c>
    </row>
    <row r="493" spans="1:3" x14ac:dyDescent="0.25">
      <c r="A493" s="585">
        <v>2796</v>
      </c>
      <c r="B493" s="585" t="s">
        <v>1424</v>
      </c>
      <c r="C493" s="585" t="s">
        <v>1424</v>
      </c>
    </row>
    <row r="494" spans="1:3" x14ac:dyDescent="0.25">
      <c r="A494" s="585">
        <v>2820</v>
      </c>
      <c r="B494" s="585"/>
      <c r="C494" s="585" t="s">
        <v>1425</v>
      </c>
    </row>
    <row r="495" spans="1:3" x14ac:dyDescent="0.25">
      <c r="A495" s="585">
        <v>2822</v>
      </c>
      <c r="B495" s="585" t="s">
        <v>1426</v>
      </c>
      <c r="C495" s="585" t="s">
        <v>1426</v>
      </c>
    </row>
    <row r="496" spans="1:3" x14ac:dyDescent="0.25">
      <c r="A496" s="585">
        <v>2832</v>
      </c>
      <c r="B496" s="585" t="s">
        <v>1427</v>
      </c>
      <c r="C496" s="585" t="s">
        <v>1427</v>
      </c>
    </row>
    <row r="497" spans="1:3" x14ac:dyDescent="0.25">
      <c r="A497" s="585">
        <v>2833</v>
      </c>
      <c r="B497" s="585"/>
      <c r="C497" s="585" t="s">
        <v>1428</v>
      </c>
    </row>
    <row r="498" spans="1:3" x14ac:dyDescent="0.25">
      <c r="A498" s="585">
        <v>2853</v>
      </c>
      <c r="B498" s="585" t="s">
        <v>1429</v>
      </c>
      <c r="C498" s="585" t="s">
        <v>1429</v>
      </c>
    </row>
    <row r="499" spans="1:3" x14ac:dyDescent="0.25">
      <c r="A499" s="585">
        <v>2856</v>
      </c>
      <c r="B499" s="585" t="s">
        <v>1430</v>
      </c>
      <c r="C499" s="585" t="s">
        <v>1431</v>
      </c>
    </row>
    <row r="500" spans="1:3" x14ac:dyDescent="0.25">
      <c r="A500" s="585">
        <v>2859</v>
      </c>
      <c r="B500" s="585"/>
      <c r="C500" s="585" t="s">
        <v>1432</v>
      </c>
    </row>
    <row r="501" spans="1:3" x14ac:dyDescent="0.25">
      <c r="A501" s="585">
        <v>2862</v>
      </c>
      <c r="B501" s="585" t="s">
        <v>1433</v>
      </c>
      <c r="C501" s="585" t="s">
        <v>1433</v>
      </c>
    </row>
    <row r="502" spans="1:3" x14ac:dyDescent="0.25">
      <c r="A502" s="585">
        <v>2864</v>
      </c>
      <c r="B502" s="585"/>
      <c r="C502" s="585" t="s">
        <v>1434</v>
      </c>
    </row>
    <row r="503" spans="1:3" x14ac:dyDescent="0.25">
      <c r="A503" s="585">
        <v>2866</v>
      </c>
      <c r="B503" s="585" t="s">
        <v>3298</v>
      </c>
      <c r="C503" s="585" t="s">
        <v>263</v>
      </c>
    </row>
    <row r="504" spans="1:3" x14ac:dyDescent="0.25">
      <c r="A504" s="585">
        <v>2875</v>
      </c>
      <c r="B504" s="585"/>
      <c r="C504" s="585" t="s">
        <v>1435</v>
      </c>
    </row>
    <row r="505" spans="1:3" x14ac:dyDescent="0.25">
      <c r="A505" s="585">
        <v>2877</v>
      </c>
      <c r="B505" s="585" t="s">
        <v>1436</v>
      </c>
      <c r="C505" s="585" t="s">
        <v>1436</v>
      </c>
    </row>
    <row r="506" spans="1:3" x14ac:dyDescent="0.25">
      <c r="A506" s="585">
        <v>2886</v>
      </c>
      <c r="B506" s="585" t="s">
        <v>1437</v>
      </c>
      <c r="C506" s="585" t="s">
        <v>1438</v>
      </c>
    </row>
    <row r="507" spans="1:3" x14ac:dyDescent="0.25">
      <c r="A507" s="585">
        <v>2889</v>
      </c>
      <c r="B507" s="585"/>
      <c r="C507" s="585" t="s">
        <v>1439</v>
      </c>
    </row>
    <row r="508" spans="1:3" x14ac:dyDescent="0.25">
      <c r="A508" s="585">
        <v>2890</v>
      </c>
      <c r="B508" s="585"/>
      <c r="C508" s="585" t="s">
        <v>1440</v>
      </c>
    </row>
    <row r="509" spans="1:3" x14ac:dyDescent="0.25">
      <c r="A509" s="585">
        <v>2896</v>
      </c>
      <c r="B509" s="585" t="s">
        <v>1441</v>
      </c>
      <c r="C509" s="585" t="s">
        <v>1442</v>
      </c>
    </row>
    <row r="510" spans="1:3" x14ac:dyDescent="0.25">
      <c r="A510" s="585">
        <v>2901</v>
      </c>
      <c r="B510" s="585"/>
      <c r="C510" s="585" t="s">
        <v>1443</v>
      </c>
    </row>
    <row r="511" spans="1:3" x14ac:dyDescent="0.25">
      <c r="A511" s="585">
        <v>2903</v>
      </c>
      <c r="B511" s="585" t="s">
        <v>1444</v>
      </c>
      <c r="C511" s="585" t="s">
        <v>1445</v>
      </c>
    </row>
    <row r="512" spans="1:3" x14ac:dyDescent="0.25">
      <c r="A512" s="585">
        <v>2904</v>
      </c>
      <c r="B512" s="585" t="s">
        <v>3299</v>
      </c>
      <c r="C512" s="585" t="s">
        <v>262</v>
      </c>
    </row>
    <row r="513" spans="1:3" x14ac:dyDescent="0.25">
      <c r="A513" s="585">
        <v>2916</v>
      </c>
      <c r="B513" s="585"/>
      <c r="C513" s="585" t="s">
        <v>1446</v>
      </c>
    </row>
    <row r="514" spans="1:3" x14ac:dyDescent="0.25">
      <c r="A514" s="585">
        <v>2920</v>
      </c>
      <c r="B514" s="585"/>
      <c r="C514" s="585" t="s">
        <v>1447</v>
      </c>
    </row>
    <row r="515" spans="1:3" x14ac:dyDescent="0.25">
      <c r="A515" s="585">
        <v>2924</v>
      </c>
      <c r="B515" s="585"/>
      <c r="C515" s="585" t="s">
        <v>1448</v>
      </c>
    </row>
    <row r="516" spans="1:3" x14ac:dyDescent="0.25">
      <c r="A516" s="585">
        <v>2928</v>
      </c>
      <c r="B516" s="585"/>
      <c r="C516" s="585" t="s">
        <v>1449</v>
      </c>
    </row>
    <row r="517" spans="1:3" x14ac:dyDescent="0.25">
      <c r="A517" s="585">
        <v>2934</v>
      </c>
      <c r="B517" s="585"/>
      <c r="C517" s="585" t="s">
        <v>1450</v>
      </c>
    </row>
    <row r="518" spans="1:3" x14ac:dyDescent="0.25">
      <c r="A518" s="585">
        <v>2935</v>
      </c>
      <c r="B518" s="585"/>
      <c r="C518" s="585" t="s">
        <v>1451</v>
      </c>
    </row>
    <row r="519" spans="1:3" x14ac:dyDescent="0.25">
      <c r="A519" s="585">
        <v>2937</v>
      </c>
      <c r="B519" s="585" t="s">
        <v>3300</v>
      </c>
      <c r="C519" s="585" t="s">
        <v>271</v>
      </c>
    </row>
    <row r="520" spans="1:3" x14ac:dyDescent="0.25">
      <c r="A520" s="585">
        <v>2938</v>
      </c>
      <c r="B520" s="585"/>
      <c r="C520" s="585" t="s">
        <v>1452</v>
      </c>
    </row>
    <row r="521" spans="1:3" x14ac:dyDescent="0.25">
      <c r="A521" s="585">
        <v>2939</v>
      </c>
      <c r="B521" s="585"/>
      <c r="C521" s="585" t="s">
        <v>1453</v>
      </c>
    </row>
    <row r="522" spans="1:3" x14ac:dyDescent="0.25">
      <c r="A522" s="585">
        <v>2940</v>
      </c>
      <c r="B522" s="585"/>
      <c r="C522" s="585" t="s">
        <v>1454</v>
      </c>
    </row>
    <row r="523" spans="1:3" x14ac:dyDescent="0.25">
      <c r="A523" s="585">
        <v>2945</v>
      </c>
      <c r="B523" s="585"/>
      <c r="C523" s="585" t="s">
        <v>1455</v>
      </c>
    </row>
    <row r="524" spans="1:3" x14ac:dyDescent="0.25">
      <c r="A524" s="585">
        <v>2948</v>
      </c>
      <c r="B524" s="585"/>
      <c r="C524" s="585" t="s">
        <v>1456</v>
      </c>
    </row>
    <row r="525" spans="1:3" x14ac:dyDescent="0.25">
      <c r="A525" s="585">
        <v>2949</v>
      </c>
      <c r="B525" s="585"/>
      <c r="C525" s="585" t="s">
        <v>1457</v>
      </c>
    </row>
    <row r="526" spans="1:3" x14ac:dyDescent="0.25">
      <c r="A526" s="585">
        <v>2950</v>
      </c>
      <c r="B526" s="585"/>
      <c r="C526" s="585" t="s">
        <v>1458</v>
      </c>
    </row>
    <row r="527" spans="1:3" x14ac:dyDescent="0.25">
      <c r="A527" s="585">
        <v>2952</v>
      </c>
      <c r="B527" s="585"/>
      <c r="C527" s="585" t="s">
        <v>1459</v>
      </c>
    </row>
    <row r="528" spans="1:3" x14ac:dyDescent="0.25">
      <c r="A528" s="585">
        <v>2958</v>
      </c>
      <c r="B528" s="585" t="s">
        <v>1460</v>
      </c>
      <c r="C528" s="585" t="s">
        <v>1461</v>
      </c>
    </row>
    <row r="529" spans="1:3" x14ac:dyDescent="0.25">
      <c r="A529" s="585">
        <v>2961</v>
      </c>
      <c r="B529" s="585" t="s">
        <v>1462</v>
      </c>
      <c r="C529" s="585" t="s">
        <v>1462</v>
      </c>
    </row>
    <row r="530" spans="1:3" x14ac:dyDescent="0.25">
      <c r="A530" s="585">
        <v>2973</v>
      </c>
      <c r="B530" s="585" t="s">
        <v>1463</v>
      </c>
      <c r="C530" s="585" t="s">
        <v>1463</v>
      </c>
    </row>
    <row r="531" spans="1:3" x14ac:dyDescent="0.25">
      <c r="A531" s="585">
        <v>2974</v>
      </c>
      <c r="B531" s="585"/>
      <c r="C531" s="585" t="s">
        <v>1464</v>
      </c>
    </row>
    <row r="532" spans="1:3" x14ac:dyDescent="0.25">
      <c r="A532" s="585">
        <v>2976</v>
      </c>
      <c r="B532" s="585"/>
      <c r="C532" s="585" t="s">
        <v>1465</v>
      </c>
    </row>
    <row r="533" spans="1:3" x14ac:dyDescent="0.25">
      <c r="A533" s="585">
        <v>2977</v>
      </c>
      <c r="B533" s="585"/>
      <c r="C533" s="585" t="s">
        <v>1466</v>
      </c>
    </row>
    <row r="534" spans="1:3" x14ac:dyDescent="0.25">
      <c r="A534" s="585">
        <v>2980</v>
      </c>
      <c r="B534" s="585"/>
      <c r="C534" s="585" t="s">
        <v>1467</v>
      </c>
    </row>
    <row r="535" spans="1:3" x14ac:dyDescent="0.25">
      <c r="A535" s="585">
        <v>2988</v>
      </c>
      <c r="B535" s="585"/>
      <c r="C535" s="585" t="s">
        <v>1468</v>
      </c>
    </row>
    <row r="536" spans="1:3" x14ac:dyDescent="0.25">
      <c r="A536" s="585">
        <v>2990</v>
      </c>
      <c r="B536" s="585"/>
      <c r="C536" s="585" t="s">
        <v>1469</v>
      </c>
    </row>
    <row r="537" spans="1:3" x14ac:dyDescent="0.25">
      <c r="A537" s="585">
        <v>2996</v>
      </c>
      <c r="B537" s="585"/>
      <c r="C537" s="585" t="s">
        <v>1470</v>
      </c>
    </row>
    <row r="538" spans="1:3" x14ac:dyDescent="0.25">
      <c r="A538" s="585">
        <v>3004</v>
      </c>
      <c r="B538" s="585"/>
      <c r="C538" s="585" t="s">
        <v>1471</v>
      </c>
    </row>
    <row r="539" spans="1:3" x14ac:dyDescent="0.25">
      <c r="A539" s="585">
        <v>3008</v>
      </c>
      <c r="B539" s="585"/>
      <c r="C539" s="585" t="s">
        <v>1472</v>
      </c>
    </row>
    <row r="540" spans="1:3" x14ac:dyDescent="0.25">
      <c r="A540" s="585">
        <v>3009</v>
      </c>
      <c r="B540" s="585" t="s">
        <v>1473</v>
      </c>
      <c r="C540" s="585" t="s">
        <v>1473</v>
      </c>
    </row>
    <row r="541" spans="1:3" x14ac:dyDescent="0.25">
      <c r="A541" s="585">
        <v>3012</v>
      </c>
      <c r="B541" s="585" t="s">
        <v>1474</v>
      </c>
      <c r="C541" s="585" t="s">
        <v>1474</v>
      </c>
    </row>
    <row r="542" spans="1:3" x14ac:dyDescent="0.25">
      <c r="A542" s="585">
        <v>3013</v>
      </c>
      <c r="B542" s="585" t="s">
        <v>1475</v>
      </c>
      <c r="C542" s="585" t="s">
        <v>1475</v>
      </c>
    </row>
    <row r="543" spans="1:3" x14ac:dyDescent="0.25">
      <c r="A543" s="585">
        <v>3014</v>
      </c>
      <c r="B543" s="585" t="s">
        <v>1476</v>
      </c>
      <c r="C543" s="585" t="s">
        <v>1476</v>
      </c>
    </row>
    <row r="544" spans="1:3" x14ac:dyDescent="0.25">
      <c r="A544" s="585">
        <v>3018</v>
      </c>
      <c r="B544" s="585"/>
      <c r="C544" s="585" t="s">
        <v>1477</v>
      </c>
    </row>
    <row r="545" spans="1:3" x14ac:dyDescent="0.25">
      <c r="A545" s="585">
        <v>3025</v>
      </c>
      <c r="B545" s="585"/>
      <c r="C545" s="585" t="s">
        <v>1478</v>
      </c>
    </row>
    <row r="546" spans="1:3" x14ac:dyDescent="0.25">
      <c r="A546" s="585">
        <v>3027</v>
      </c>
      <c r="B546" s="585"/>
      <c r="C546" s="585" t="s">
        <v>1479</v>
      </c>
    </row>
    <row r="547" spans="1:3" x14ac:dyDescent="0.25">
      <c r="A547" s="585">
        <v>3029</v>
      </c>
      <c r="B547" s="585" t="s">
        <v>1480</v>
      </c>
      <c r="C547" s="585" t="s">
        <v>1481</v>
      </c>
    </row>
    <row r="548" spans="1:3" x14ac:dyDescent="0.25">
      <c r="A548" s="585">
        <v>3032</v>
      </c>
      <c r="B548" s="585"/>
      <c r="C548" s="585" t="s">
        <v>1482</v>
      </c>
    </row>
    <row r="549" spans="1:3" x14ac:dyDescent="0.25">
      <c r="A549" s="585">
        <v>3033</v>
      </c>
      <c r="B549" s="585" t="s">
        <v>1483</v>
      </c>
      <c r="C549" s="585" t="s">
        <v>1483</v>
      </c>
    </row>
    <row r="550" spans="1:3" x14ac:dyDescent="0.25">
      <c r="A550" s="585">
        <v>3034</v>
      </c>
      <c r="B550" s="585"/>
      <c r="C550" s="585" t="s">
        <v>1484</v>
      </c>
    </row>
    <row r="551" spans="1:3" x14ac:dyDescent="0.25">
      <c r="A551" s="585">
        <v>3035</v>
      </c>
      <c r="B551" s="585" t="s">
        <v>1485</v>
      </c>
      <c r="C551" s="585" t="s">
        <v>1486</v>
      </c>
    </row>
    <row r="552" spans="1:3" x14ac:dyDescent="0.25">
      <c r="A552" s="585">
        <v>3040</v>
      </c>
      <c r="B552" s="585" t="s">
        <v>1487</v>
      </c>
      <c r="C552" s="585" t="s">
        <v>1487</v>
      </c>
    </row>
    <row r="553" spans="1:3" x14ac:dyDescent="0.25">
      <c r="A553" s="585">
        <v>3041</v>
      </c>
      <c r="B553" s="585"/>
      <c r="C553" s="585" t="s">
        <v>1488</v>
      </c>
    </row>
    <row r="554" spans="1:3" x14ac:dyDescent="0.25">
      <c r="A554" s="585">
        <v>3042</v>
      </c>
      <c r="B554" s="585"/>
      <c r="C554" s="585" t="s">
        <v>1489</v>
      </c>
    </row>
    <row r="555" spans="1:3" x14ac:dyDescent="0.25">
      <c r="A555" s="585">
        <v>3043</v>
      </c>
      <c r="B555" s="585"/>
      <c r="C555" s="585" t="s">
        <v>1490</v>
      </c>
    </row>
    <row r="556" spans="1:3" x14ac:dyDescent="0.25">
      <c r="A556" s="585">
        <v>3044</v>
      </c>
      <c r="B556" s="585"/>
      <c r="C556" s="585" t="s">
        <v>1491</v>
      </c>
    </row>
    <row r="557" spans="1:3" x14ac:dyDescent="0.25">
      <c r="A557" s="585">
        <v>3045</v>
      </c>
      <c r="B557" s="585"/>
      <c r="C557" s="585" t="s">
        <v>1492</v>
      </c>
    </row>
    <row r="558" spans="1:3" x14ac:dyDescent="0.25">
      <c r="A558" s="585">
        <v>3046</v>
      </c>
      <c r="B558" s="585"/>
      <c r="C558" s="585" t="s">
        <v>1493</v>
      </c>
    </row>
    <row r="559" spans="1:3" x14ac:dyDescent="0.25">
      <c r="A559" s="585">
        <v>3047</v>
      </c>
      <c r="B559" s="585" t="s">
        <v>1494</v>
      </c>
      <c r="C559" s="585" t="s">
        <v>1495</v>
      </c>
    </row>
    <row r="560" spans="1:3" x14ac:dyDescent="0.25">
      <c r="A560" s="585">
        <v>3052</v>
      </c>
      <c r="B560" s="585" t="s">
        <v>1496</v>
      </c>
      <c r="C560" s="585" t="s">
        <v>1496</v>
      </c>
    </row>
    <row r="561" spans="1:3" x14ac:dyDescent="0.25">
      <c r="A561" s="585">
        <v>3055</v>
      </c>
      <c r="B561" s="585"/>
      <c r="C561" s="585" t="s">
        <v>1497</v>
      </c>
    </row>
    <row r="562" spans="1:3" x14ac:dyDescent="0.25">
      <c r="A562" s="585">
        <v>3056</v>
      </c>
      <c r="B562" s="585"/>
      <c r="C562" s="585" t="s">
        <v>1498</v>
      </c>
    </row>
    <row r="563" spans="1:3" x14ac:dyDescent="0.25">
      <c r="A563" s="585">
        <v>3059</v>
      </c>
      <c r="B563" s="585" t="s">
        <v>1499</v>
      </c>
      <c r="C563" s="585" t="s">
        <v>1500</v>
      </c>
    </row>
    <row r="564" spans="1:3" x14ac:dyDescent="0.25">
      <c r="A564" s="585">
        <v>3061</v>
      </c>
      <c r="B564" s="585"/>
      <c r="C564" s="585" t="s">
        <v>1501</v>
      </c>
    </row>
    <row r="565" spans="1:3" x14ac:dyDescent="0.25">
      <c r="A565" s="585">
        <v>3071</v>
      </c>
      <c r="B565" s="585"/>
      <c r="C565" s="585" t="s">
        <v>1502</v>
      </c>
    </row>
    <row r="566" spans="1:3" x14ac:dyDescent="0.25">
      <c r="A566" s="585">
        <v>3081</v>
      </c>
      <c r="B566" s="585"/>
      <c r="C566" s="585" t="s">
        <v>1503</v>
      </c>
    </row>
    <row r="567" spans="1:3" x14ac:dyDescent="0.25">
      <c r="A567" s="585">
        <v>3107</v>
      </c>
      <c r="B567" s="585"/>
      <c r="C567" s="585" t="s">
        <v>1504</v>
      </c>
    </row>
    <row r="568" spans="1:3" x14ac:dyDescent="0.25">
      <c r="A568" s="585">
        <v>3108</v>
      </c>
      <c r="B568" s="585"/>
      <c r="C568" s="585" t="s">
        <v>1505</v>
      </c>
    </row>
    <row r="569" spans="1:3" x14ac:dyDescent="0.25">
      <c r="A569" s="585">
        <v>3109</v>
      </c>
      <c r="B569" s="585" t="s">
        <v>1506</v>
      </c>
      <c r="C569" s="585" t="s">
        <v>1506</v>
      </c>
    </row>
    <row r="570" spans="1:3" x14ac:dyDescent="0.25">
      <c r="A570" s="585">
        <v>3110</v>
      </c>
      <c r="B570" s="585"/>
      <c r="C570" s="585" t="s">
        <v>1507</v>
      </c>
    </row>
    <row r="571" spans="1:3" x14ac:dyDescent="0.25">
      <c r="A571" s="585">
        <v>3223</v>
      </c>
      <c r="B571" s="585" t="s">
        <v>3301</v>
      </c>
      <c r="C571" s="585" t="s">
        <v>1508</v>
      </c>
    </row>
    <row r="572" spans="1:3" x14ac:dyDescent="0.25">
      <c r="A572" s="585">
        <v>3417</v>
      </c>
      <c r="B572" s="585"/>
      <c r="C572" s="585" t="s">
        <v>1509</v>
      </c>
    </row>
    <row r="573" spans="1:3" x14ac:dyDescent="0.25">
      <c r="A573" s="585">
        <v>3420</v>
      </c>
      <c r="B573" s="585"/>
      <c r="C573" s="585" t="s">
        <v>1510</v>
      </c>
    </row>
    <row r="574" spans="1:3" x14ac:dyDescent="0.25">
      <c r="A574" s="585">
        <v>3504</v>
      </c>
      <c r="B574" s="585"/>
      <c r="C574" s="585" t="s">
        <v>1511</v>
      </c>
    </row>
    <row r="575" spans="1:3" x14ac:dyDescent="0.25">
      <c r="A575" s="585">
        <v>3506</v>
      </c>
      <c r="B575" s="585"/>
      <c r="C575" s="585" t="s">
        <v>1512</v>
      </c>
    </row>
    <row r="576" spans="1:3" x14ac:dyDescent="0.25">
      <c r="A576" s="585">
        <v>3507</v>
      </c>
      <c r="B576" s="585"/>
      <c r="C576" s="585" t="s">
        <v>1513</v>
      </c>
    </row>
    <row r="577" spans="1:3" x14ac:dyDescent="0.25">
      <c r="A577" s="585">
        <v>3511</v>
      </c>
      <c r="B577" s="585"/>
      <c r="C577" s="585" t="s">
        <v>1514</v>
      </c>
    </row>
    <row r="578" spans="1:3" x14ac:dyDescent="0.25">
      <c r="A578" s="585">
        <v>3523</v>
      </c>
      <c r="B578" s="585"/>
      <c r="C578" s="585" t="s">
        <v>1515</v>
      </c>
    </row>
    <row r="579" spans="1:3" x14ac:dyDescent="0.25">
      <c r="A579" s="585">
        <v>3524</v>
      </c>
      <c r="B579" s="585" t="s">
        <v>1516</v>
      </c>
      <c r="C579" s="585" t="s">
        <v>1516</v>
      </c>
    </row>
    <row r="580" spans="1:3" x14ac:dyDescent="0.25">
      <c r="A580" s="585">
        <v>3526</v>
      </c>
      <c r="B580" s="585"/>
      <c r="C580" s="585" t="s">
        <v>1517</v>
      </c>
    </row>
    <row r="581" spans="1:3" x14ac:dyDescent="0.25">
      <c r="A581" s="585">
        <v>3533</v>
      </c>
      <c r="B581" s="585"/>
      <c r="C581" s="585" t="s">
        <v>1518</v>
      </c>
    </row>
    <row r="582" spans="1:3" x14ac:dyDescent="0.25">
      <c r="A582" s="585">
        <v>3544</v>
      </c>
      <c r="B582" s="585"/>
      <c r="C582" s="585" t="s">
        <v>1519</v>
      </c>
    </row>
    <row r="583" spans="1:3" x14ac:dyDescent="0.25">
      <c r="A583" s="585">
        <v>3565</v>
      </c>
      <c r="B583" s="585"/>
      <c r="C583" s="585" t="s">
        <v>1520</v>
      </c>
    </row>
    <row r="584" spans="1:3" x14ac:dyDescent="0.25">
      <c r="A584" s="585">
        <v>3582</v>
      </c>
      <c r="B584" s="585"/>
      <c r="C584" s="585" t="s">
        <v>1521</v>
      </c>
    </row>
    <row r="585" spans="1:3" x14ac:dyDescent="0.25">
      <c r="A585" s="585">
        <v>3584</v>
      </c>
      <c r="B585" s="585"/>
      <c r="C585" s="585" t="s">
        <v>1522</v>
      </c>
    </row>
    <row r="586" spans="1:3" x14ac:dyDescent="0.25">
      <c r="A586" s="585">
        <v>3593</v>
      </c>
      <c r="B586" s="585"/>
      <c r="C586" s="585" t="s">
        <v>1523</v>
      </c>
    </row>
    <row r="587" spans="1:3" x14ac:dyDescent="0.25">
      <c r="A587" s="585">
        <v>3598</v>
      </c>
      <c r="B587" s="585"/>
      <c r="C587" s="585" t="s">
        <v>1524</v>
      </c>
    </row>
    <row r="588" spans="1:3" x14ac:dyDescent="0.25">
      <c r="A588" s="585">
        <v>3607</v>
      </c>
      <c r="B588" s="585"/>
      <c r="C588" s="585" t="s">
        <v>1525</v>
      </c>
    </row>
    <row r="589" spans="1:3" x14ac:dyDescent="0.25">
      <c r="A589" s="585">
        <v>3608</v>
      </c>
      <c r="B589" s="585"/>
      <c r="C589" s="585" t="s">
        <v>1526</v>
      </c>
    </row>
    <row r="590" spans="1:3" x14ac:dyDescent="0.25">
      <c r="A590" s="585">
        <v>3615</v>
      </c>
      <c r="B590" s="585"/>
      <c r="C590" s="585" t="s">
        <v>1527</v>
      </c>
    </row>
    <row r="591" spans="1:3" x14ac:dyDescent="0.25">
      <c r="A591" s="585">
        <v>3621</v>
      </c>
      <c r="B591" s="585"/>
      <c r="C591" s="585" t="s">
        <v>1528</v>
      </c>
    </row>
    <row r="592" spans="1:3" x14ac:dyDescent="0.25">
      <c r="A592" s="585">
        <v>3625</v>
      </c>
      <c r="B592" s="585"/>
      <c r="C592" s="585" t="s">
        <v>1529</v>
      </c>
    </row>
    <row r="593" spans="1:3" x14ac:dyDescent="0.25">
      <c r="A593" s="585">
        <v>3627</v>
      </c>
      <c r="B593" s="585" t="s">
        <v>3302</v>
      </c>
      <c r="C593" s="585" t="s">
        <v>1530</v>
      </c>
    </row>
    <row r="594" spans="1:3" x14ac:dyDescent="0.25">
      <c r="A594" s="585">
        <v>3631</v>
      </c>
      <c r="B594" s="585"/>
      <c r="C594" s="585" t="s">
        <v>1531</v>
      </c>
    </row>
    <row r="595" spans="1:3" x14ac:dyDescent="0.25">
      <c r="A595" s="585">
        <v>3636</v>
      </c>
      <c r="B595" s="585"/>
      <c r="C595" s="585" t="s">
        <v>1532</v>
      </c>
    </row>
    <row r="596" spans="1:3" x14ac:dyDescent="0.25">
      <c r="A596" s="585">
        <v>3637</v>
      </c>
      <c r="B596" s="585"/>
      <c r="C596" s="585" t="s">
        <v>1533</v>
      </c>
    </row>
    <row r="597" spans="1:3" x14ac:dyDescent="0.25">
      <c r="A597" s="585">
        <v>3638</v>
      </c>
      <c r="B597" s="585"/>
      <c r="C597" s="585" t="s">
        <v>1534</v>
      </c>
    </row>
    <row r="598" spans="1:3" x14ac:dyDescent="0.25">
      <c r="A598" s="585">
        <v>3640</v>
      </c>
      <c r="B598" s="585"/>
      <c r="C598" s="585" t="s">
        <v>1535</v>
      </c>
    </row>
    <row r="599" spans="1:3" x14ac:dyDescent="0.25">
      <c r="A599" s="585">
        <v>3656</v>
      </c>
      <c r="B599" s="585"/>
      <c r="C599" s="585" t="s">
        <v>1536</v>
      </c>
    </row>
    <row r="600" spans="1:3" x14ac:dyDescent="0.25">
      <c r="A600" s="585">
        <v>3701</v>
      </c>
      <c r="B600" s="585"/>
      <c r="C600" s="585" t="s">
        <v>1537</v>
      </c>
    </row>
    <row r="601" spans="1:3" x14ac:dyDescent="0.25">
      <c r="A601" s="585">
        <v>3767</v>
      </c>
      <c r="B601" s="585"/>
      <c r="C601" s="585" t="s">
        <v>1538</v>
      </c>
    </row>
    <row r="602" spans="1:3" x14ac:dyDescent="0.25">
      <c r="A602" s="585">
        <v>3768</v>
      </c>
      <c r="B602" s="585"/>
      <c r="C602" s="585" t="s">
        <v>1539</v>
      </c>
    </row>
    <row r="603" spans="1:3" x14ac:dyDescent="0.25">
      <c r="A603" s="585">
        <v>3936</v>
      </c>
      <c r="B603" s="585"/>
      <c r="C603" s="585" t="s">
        <v>1540</v>
      </c>
    </row>
    <row r="604" spans="1:3" x14ac:dyDescent="0.25">
      <c r="A604" s="585">
        <v>3950</v>
      </c>
      <c r="B604" s="585"/>
      <c r="C604" s="585" t="s">
        <v>1541</v>
      </c>
    </row>
    <row r="605" spans="1:3" x14ac:dyDescent="0.25">
      <c r="A605" s="585">
        <v>3951</v>
      </c>
      <c r="B605" s="585"/>
      <c r="C605" s="585" t="s">
        <v>1542</v>
      </c>
    </row>
    <row r="606" spans="1:3" x14ac:dyDescent="0.25">
      <c r="A606" s="585">
        <v>3956</v>
      </c>
      <c r="B606" s="585" t="s">
        <v>1543</v>
      </c>
      <c r="C606" s="585" t="s">
        <v>1543</v>
      </c>
    </row>
    <row r="607" spans="1:3" x14ac:dyDescent="0.25">
      <c r="A607" s="585">
        <v>3957</v>
      </c>
      <c r="B607" s="585"/>
      <c r="C607" s="585" t="s">
        <v>1544</v>
      </c>
    </row>
    <row r="608" spans="1:3" x14ac:dyDescent="0.25">
      <c r="A608" s="585">
        <v>3961</v>
      </c>
      <c r="B608" s="585"/>
      <c r="C608" s="585" t="s">
        <v>1545</v>
      </c>
    </row>
    <row r="609" spans="1:3" x14ac:dyDescent="0.25">
      <c r="A609" s="585">
        <v>3964</v>
      </c>
      <c r="B609" s="585"/>
      <c r="C609" s="585" t="s">
        <v>1546</v>
      </c>
    </row>
    <row r="610" spans="1:3" x14ac:dyDescent="0.25">
      <c r="A610" s="585">
        <v>3966</v>
      </c>
      <c r="B610" s="585"/>
      <c r="C610" s="585" t="s">
        <v>1547</v>
      </c>
    </row>
    <row r="611" spans="1:3" x14ac:dyDescent="0.25">
      <c r="A611" s="585">
        <v>3967</v>
      </c>
      <c r="B611" s="585"/>
      <c r="C611" s="585" t="s">
        <v>1548</v>
      </c>
    </row>
    <row r="612" spans="1:3" x14ac:dyDescent="0.25">
      <c r="A612" s="585">
        <v>3968</v>
      </c>
      <c r="B612" s="585"/>
      <c r="C612" s="585" t="s">
        <v>1549</v>
      </c>
    </row>
    <row r="613" spans="1:3" x14ac:dyDescent="0.25">
      <c r="A613" s="585">
        <v>3970</v>
      </c>
      <c r="B613" s="585"/>
      <c r="C613" s="585" t="s">
        <v>1550</v>
      </c>
    </row>
    <row r="614" spans="1:3" x14ac:dyDescent="0.25">
      <c r="A614" s="585">
        <v>3975</v>
      </c>
      <c r="B614" s="585"/>
      <c r="C614" s="585" t="s">
        <v>1551</v>
      </c>
    </row>
    <row r="615" spans="1:3" x14ac:dyDescent="0.25">
      <c r="A615" s="585">
        <v>3978</v>
      </c>
      <c r="B615" s="585"/>
      <c r="C615" s="585" t="s">
        <v>1552</v>
      </c>
    </row>
    <row r="616" spans="1:3" x14ac:dyDescent="0.25">
      <c r="A616" s="585">
        <v>3986</v>
      </c>
      <c r="B616" s="585"/>
      <c r="C616" s="585" t="s">
        <v>1553</v>
      </c>
    </row>
    <row r="617" spans="1:3" x14ac:dyDescent="0.25">
      <c r="A617" s="585">
        <v>3988</v>
      </c>
      <c r="B617" s="585"/>
      <c r="C617" s="585" t="s">
        <v>1554</v>
      </c>
    </row>
    <row r="618" spans="1:3" x14ac:dyDescent="0.25">
      <c r="A618" s="585">
        <v>4003</v>
      </c>
      <c r="B618" s="585" t="s">
        <v>1555</v>
      </c>
      <c r="C618" s="585" t="s">
        <v>1556</v>
      </c>
    </row>
    <row r="619" spans="1:3" x14ac:dyDescent="0.25">
      <c r="A619" s="585">
        <v>4031</v>
      </c>
      <c r="B619" s="585"/>
      <c r="C619" s="585" t="s">
        <v>1557</v>
      </c>
    </row>
    <row r="620" spans="1:3" x14ac:dyDescent="0.25">
      <c r="A620" s="585">
        <v>4034</v>
      </c>
      <c r="B620" s="585"/>
      <c r="C620" s="585" t="s">
        <v>1558</v>
      </c>
    </row>
    <row r="621" spans="1:3" x14ac:dyDescent="0.25">
      <c r="A621" s="585">
        <v>4208</v>
      </c>
      <c r="B621" s="585"/>
      <c r="C621" s="585" t="s">
        <v>1559</v>
      </c>
    </row>
    <row r="622" spans="1:3" x14ac:dyDescent="0.25">
      <c r="A622" s="585">
        <v>4223</v>
      </c>
      <c r="B622" s="585"/>
      <c r="C622" s="585" t="s">
        <v>1560</v>
      </c>
    </row>
    <row r="623" spans="1:3" x14ac:dyDescent="0.25">
      <c r="A623" s="585">
        <v>4248</v>
      </c>
      <c r="B623" s="585" t="s">
        <v>3303</v>
      </c>
      <c r="C623" s="585" t="s">
        <v>1561</v>
      </c>
    </row>
    <row r="624" spans="1:3" x14ac:dyDescent="0.25">
      <c r="A624" s="585">
        <v>4338</v>
      </c>
      <c r="B624" s="585"/>
      <c r="C624" s="585" t="s">
        <v>1562</v>
      </c>
    </row>
    <row r="625" spans="1:3" x14ac:dyDescent="0.25">
      <c r="A625" s="585">
        <v>4353</v>
      </c>
      <c r="B625" s="585"/>
      <c r="C625" s="585" t="s">
        <v>1563</v>
      </c>
    </row>
    <row r="626" spans="1:3" x14ac:dyDescent="0.25">
      <c r="A626" s="585">
        <v>4376</v>
      </c>
      <c r="B626" s="585"/>
      <c r="C626" s="585" t="s">
        <v>1564</v>
      </c>
    </row>
    <row r="627" spans="1:3" x14ac:dyDescent="0.25">
      <c r="A627" s="585">
        <v>4377</v>
      </c>
      <c r="B627" s="585"/>
      <c r="C627" s="585" t="s">
        <v>1565</v>
      </c>
    </row>
    <row r="628" spans="1:3" x14ac:dyDescent="0.25">
      <c r="A628" s="585">
        <v>4386</v>
      </c>
      <c r="B628" s="585"/>
      <c r="C628" s="585" t="s">
        <v>1566</v>
      </c>
    </row>
    <row r="629" spans="1:3" x14ac:dyDescent="0.25">
      <c r="A629" s="585">
        <v>4398</v>
      </c>
      <c r="B629" s="585"/>
      <c r="C629" s="585" t="s">
        <v>1567</v>
      </c>
    </row>
    <row r="630" spans="1:3" x14ac:dyDescent="0.25">
      <c r="A630" s="585">
        <v>4399</v>
      </c>
      <c r="B630" s="585"/>
      <c r="C630" s="585" t="s">
        <v>1568</v>
      </c>
    </row>
    <row r="631" spans="1:3" x14ac:dyDescent="0.25">
      <c r="A631" s="585">
        <v>4413</v>
      </c>
      <c r="B631" s="585"/>
      <c r="C631" s="585" t="s">
        <v>1569</v>
      </c>
    </row>
    <row r="632" spans="1:3" x14ac:dyDescent="0.25">
      <c r="A632" s="585">
        <v>4420</v>
      </c>
      <c r="B632" s="585"/>
      <c r="C632" s="585" t="s">
        <v>1570</v>
      </c>
    </row>
    <row r="633" spans="1:3" x14ac:dyDescent="0.25">
      <c r="A633" s="585">
        <v>4547</v>
      </c>
      <c r="B633" s="585"/>
      <c r="C633" s="585" t="s">
        <v>1571</v>
      </c>
    </row>
    <row r="634" spans="1:3" x14ac:dyDescent="0.25">
      <c r="A634" s="585">
        <v>4582</v>
      </c>
      <c r="B634" s="585"/>
      <c r="C634" s="585" t="s">
        <v>1572</v>
      </c>
    </row>
    <row r="635" spans="1:3" x14ac:dyDescent="0.25">
      <c r="A635" s="585">
        <v>4660</v>
      </c>
      <c r="B635" s="585"/>
      <c r="C635" s="585" t="s">
        <v>1573</v>
      </c>
    </row>
    <row r="636" spans="1:3" x14ac:dyDescent="0.25">
      <c r="A636" s="585">
        <v>4679</v>
      </c>
      <c r="B636" s="585"/>
      <c r="C636" s="585" t="s">
        <v>1574</v>
      </c>
    </row>
    <row r="637" spans="1:3" x14ac:dyDescent="0.25">
      <c r="A637" s="585">
        <v>4692</v>
      </c>
      <c r="B637" s="585"/>
      <c r="C637" s="585" t="s">
        <v>1575</v>
      </c>
    </row>
    <row r="638" spans="1:3" x14ac:dyDescent="0.25">
      <c r="A638" s="585">
        <v>4693</v>
      </c>
      <c r="B638" s="585"/>
      <c r="C638" s="585" t="s">
        <v>1576</v>
      </c>
    </row>
    <row r="639" spans="1:3" x14ac:dyDescent="0.25">
      <c r="A639" s="585">
        <v>4696</v>
      </c>
      <c r="B639" s="585"/>
      <c r="C639" s="585" t="s">
        <v>1577</v>
      </c>
    </row>
    <row r="640" spans="1:3" x14ac:dyDescent="0.25">
      <c r="A640" s="585">
        <v>4717</v>
      </c>
      <c r="B640" s="585" t="s">
        <v>1578</v>
      </c>
      <c r="C640" s="585" t="s">
        <v>1578</v>
      </c>
    </row>
    <row r="641" spans="1:3" x14ac:dyDescent="0.25">
      <c r="A641" s="585">
        <v>4720</v>
      </c>
      <c r="B641" s="585"/>
      <c r="C641" s="585" t="s">
        <v>1579</v>
      </c>
    </row>
    <row r="642" spans="1:3" x14ac:dyDescent="0.25">
      <c r="A642" s="585">
        <v>4728</v>
      </c>
      <c r="B642" s="585"/>
      <c r="C642" s="585" t="s">
        <v>1580</v>
      </c>
    </row>
    <row r="643" spans="1:3" x14ac:dyDescent="0.25">
      <c r="A643" s="585">
        <v>4729</v>
      </c>
      <c r="B643" s="585"/>
      <c r="C643" s="585" t="s">
        <v>1581</v>
      </c>
    </row>
    <row r="644" spans="1:3" x14ac:dyDescent="0.25">
      <c r="A644" s="585">
        <v>4731</v>
      </c>
      <c r="B644" s="585"/>
      <c r="C644" s="585" t="s">
        <v>1582</v>
      </c>
    </row>
    <row r="645" spans="1:3" x14ac:dyDescent="0.25">
      <c r="A645" s="585">
        <v>4733</v>
      </c>
      <c r="B645" s="585" t="s">
        <v>1583</v>
      </c>
      <c r="C645" s="585" t="s">
        <v>1583</v>
      </c>
    </row>
    <row r="646" spans="1:3" x14ac:dyDescent="0.25">
      <c r="A646" s="585">
        <v>4735</v>
      </c>
      <c r="B646" s="585" t="s">
        <v>1584</v>
      </c>
      <c r="C646" s="585" t="s">
        <v>1584</v>
      </c>
    </row>
    <row r="647" spans="1:3" x14ac:dyDescent="0.25">
      <c r="A647" s="585">
        <v>4738</v>
      </c>
      <c r="B647" s="585"/>
      <c r="C647" s="585" t="s">
        <v>1585</v>
      </c>
    </row>
    <row r="648" spans="1:3" x14ac:dyDescent="0.25">
      <c r="A648" s="585">
        <v>4761</v>
      </c>
      <c r="B648" s="585"/>
      <c r="C648" s="585" t="s">
        <v>1586</v>
      </c>
    </row>
    <row r="649" spans="1:3" x14ac:dyDescent="0.25">
      <c r="A649" s="585">
        <v>4776</v>
      </c>
      <c r="B649" s="585" t="s">
        <v>1587</v>
      </c>
      <c r="C649" s="585" t="s">
        <v>1588</v>
      </c>
    </row>
    <row r="650" spans="1:3" x14ac:dyDescent="0.25">
      <c r="A650" s="585">
        <v>4777</v>
      </c>
      <c r="B650" s="585" t="s">
        <v>1589</v>
      </c>
      <c r="C650" s="585" t="s">
        <v>1590</v>
      </c>
    </row>
    <row r="651" spans="1:3" x14ac:dyDescent="0.25">
      <c r="A651" s="585">
        <v>4778</v>
      </c>
      <c r="B651" s="585" t="s">
        <v>1591</v>
      </c>
      <c r="C651" s="585" t="s">
        <v>1592</v>
      </c>
    </row>
    <row r="652" spans="1:3" x14ac:dyDescent="0.25">
      <c r="A652" s="585">
        <v>4797</v>
      </c>
      <c r="B652" s="585"/>
      <c r="C652" s="585" t="s">
        <v>1593</v>
      </c>
    </row>
    <row r="653" spans="1:3" x14ac:dyDescent="0.25">
      <c r="A653" s="585">
        <v>4801</v>
      </c>
      <c r="B653" s="585" t="s">
        <v>1594</v>
      </c>
      <c r="C653" s="585" t="s">
        <v>1595</v>
      </c>
    </row>
    <row r="654" spans="1:3" x14ac:dyDescent="0.25">
      <c r="A654" s="585">
        <v>4811</v>
      </c>
      <c r="B654" s="585"/>
      <c r="C654" s="585" t="s">
        <v>1596</v>
      </c>
    </row>
    <row r="655" spans="1:3" x14ac:dyDescent="0.25">
      <c r="A655" s="585">
        <v>4834</v>
      </c>
      <c r="B655" s="585"/>
      <c r="C655" s="585" t="s">
        <v>1597</v>
      </c>
    </row>
    <row r="656" spans="1:3" x14ac:dyDescent="0.25">
      <c r="A656" s="585">
        <v>4885</v>
      </c>
      <c r="B656" s="585"/>
      <c r="C656" s="585" t="s">
        <v>1598</v>
      </c>
    </row>
    <row r="657" spans="1:3" x14ac:dyDescent="0.25">
      <c r="A657" s="585">
        <v>4887</v>
      </c>
      <c r="B657" s="585"/>
      <c r="C657" s="585" t="s">
        <v>1599</v>
      </c>
    </row>
    <row r="658" spans="1:3" x14ac:dyDescent="0.25">
      <c r="A658" s="585">
        <v>4890</v>
      </c>
      <c r="B658" s="585"/>
      <c r="C658" s="585" t="s">
        <v>1600</v>
      </c>
    </row>
    <row r="659" spans="1:3" x14ac:dyDescent="0.25">
      <c r="A659" s="585">
        <v>4892</v>
      </c>
      <c r="B659" s="585"/>
      <c r="C659" s="585" t="s">
        <v>1601</v>
      </c>
    </row>
    <row r="660" spans="1:3" x14ac:dyDescent="0.25">
      <c r="A660" s="585">
        <v>4933</v>
      </c>
      <c r="B660" s="585"/>
      <c r="C660" s="585" t="s">
        <v>1602</v>
      </c>
    </row>
    <row r="661" spans="1:3" x14ac:dyDescent="0.25">
      <c r="A661" s="585">
        <v>4936</v>
      </c>
      <c r="B661" s="585"/>
      <c r="C661" s="585" t="s">
        <v>1603</v>
      </c>
    </row>
    <row r="662" spans="1:3" x14ac:dyDescent="0.25">
      <c r="A662" s="585">
        <v>4940</v>
      </c>
      <c r="B662" s="585"/>
      <c r="C662" s="585" t="s">
        <v>1604</v>
      </c>
    </row>
    <row r="663" spans="1:3" x14ac:dyDescent="0.25">
      <c r="A663" s="585">
        <v>4950</v>
      </c>
      <c r="B663" s="585" t="s">
        <v>3304</v>
      </c>
      <c r="C663" s="585" t="s">
        <v>232</v>
      </c>
    </row>
    <row r="664" spans="1:3" x14ac:dyDescent="0.25">
      <c r="A664" s="585">
        <v>4951</v>
      </c>
      <c r="B664" s="585"/>
      <c r="C664" s="585" t="s">
        <v>1605</v>
      </c>
    </row>
    <row r="665" spans="1:3" x14ac:dyDescent="0.25">
      <c r="A665" s="585">
        <v>4952</v>
      </c>
      <c r="B665" s="585"/>
      <c r="C665" s="585" t="s">
        <v>1606</v>
      </c>
    </row>
    <row r="666" spans="1:3" x14ac:dyDescent="0.25">
      <c r="A666" s="585">
        <v>4954</v>
      </c>
      <c r="B666" s="585"/>
      <c r="C666" s="585" t="s">
        <v>1607</v>
      </c>
    </row>
    <row r="667" spans="1:3" x14ac:dyDescent="0.25">
      <c r="A667" s="585">
        <v>4955</v>
      </c>
      <c r="B667" s="585" t="s">
        <v>1608</v>
      </c>
      <c r="C667" s="585" t="s">
        <v>1608</v>
      </c>
    </row>
    <row r="668" spans="1:3" x14ac:dyDescent="0.25">
      <c r="A668" s="585">
        <v>4957</v>
      </c>
      <c r="B668" s="585"/>
      <c r="C668" s="585" t="s">
        <v>1609</v>
      </c>
    </row>
    <row r="669" spans="1:3" x14ac:dyDescent="0.25">
      <c r="A669" s="585">
        <v>4971</v>
      </c>
      <c r="B669" s="585"/>
      <c r="C669" s="585" t="s">
        <v>1610</v>
      </c>
    </row>
    <row r="670" spans="1:3" x14ac:dyDescent="0.25">
      <c r="A670" s="585">
        <v>4999</v>
      </c>
      <c r="B670" s="585"/>
      <c r="C670" s="585" t="s">
        <v>1611</v>
      </c>
    </row>
    <row r="671" spans="1:3" x14ac:dyDescent="0.25">
      <c r="A671" s="585">
        <v>5000</v>
      </c>
      <c r="B671" s="585" t="s">
        <v>1612</v>
      </c>
      <c r="C671" s="585" t="s">
        <v>1612</v>
      </c>
    </row>
    <row r="672" spans="1:3" x14ac:dyDescent="0.25">
      <c r="A672" s="585">
        <v>5003</v>
      </c>
      <c r="B672" s="585"/>
      <c r="C672" s="585" t="s">
        <v>1613</v>
      </c>
    </row>
    <row r="673" spans="1:3" x14ac:dyDescent="0.25">
      <c r="A673" s="585">
        <v>5004</v>
      </c>
      <c r="B673" s="585"/>
      <c r="C673" s="585" t="s">
        <v>1614</v>
      </c>
    </row>
    <row r="674" spans="1:3" x14ac:dyDescent="0.25">
      <c r="A674" s="585">
        <v>5007</v>
      </c>
      <c r="B674" s="585"/>
      <c r="C674" s="585" t="s">
        <v>1615</v>
      </c>
    </row>
    <row r="675" spans="1:3" x14ac:dyDescent="0.25">
      <c r="A675" s="585">
        <v>5008</v>
      </c>
      <c r="B675" s="585"/>
      <c r="C675" s="585" t="s">
        <v>1616</v>
      </c>
    </row>
    <row r="676" spans="1:3" x14ac:dyDescent="0.25">
      <c r="A676" s="585">
        <v>5009</v>
      </c>
      <c r="B676" s="585"/>
      <c r="C676" s="585" t="s">
        <v>1617</v>
      </c>
    </row>
    <row r="677" spans="1:3" x14ac:dyDescent="0.25">
      <c r="A677" s="585">
        <v>5071</v>
      </c>
      <c r="B677" s="585"/>
      <c r="C677" s="585" t="s">
        <v>1618</v>
      </c>
    </row>
    <row r="678" spans="1:3" x14ac:dyDescent="0.25">
      <c r="A678" s="585">
        <v>5072</v>
      </c>
      <c r="B678" s="585"/>
      <c r="C678" s="585" t="s">
        <v>1619</v>
      </c>
    </row>
    <row r="679" spans="1:3" x14ac:dyDescent="0.25">
      <c r="A679" s="585">
        <v>5073</v>
      </c>
      <c r="B679" s="585"/>
      <c r="C679" s="585" t="s">
        <v>1620</v>
      </c>
    </row>
    <row r="680" spans="1:3" x14ac:dyDescent="0.25">
      <c r="A680" s="585">
        <v>5075</v>
      </c>
      <c r="B680" s="585"/>
      <c r="C680" s="585" t="s">
        <v>1621</v>
      </c>
    </row>
    <row r="681" spans="1:3" x14ac:dyDescent="0.25">
      <c r="A681" s="585">
        <v>5077</v>
      </c>
      <c r="B681" s="585"/>
      <c r="C681" s="585" t="s">
        <v>1622</v>
      </c>
    </row>
    <row r="682" spans="1:3" x14ac:dyDescent="0.25">
      <c r="A682" s="585">
        <v>5080</v>
      </c>
      <c r="B682" s="585"/>
      <c r="C682" s="585" t="s">
        <v>1623</v>
      </c>
    </row>
    <row r="683" spans="1:3" x14ac:dyDescent="0.25">
      <c r="A683" s="585">
        <v>5082</v>
      </c>
      <c r="B683" s="585"/>
      <c r="C683" s="585" t="s">
        <v>1624</v>
      </c>
    </row>
    <row r="684" spans="1:3" x14ac:dyDescent="0.25">
      <c r="A684" s="585">
        <v>5087</v>
      </c>
      <c r="B684" s="585"/>
      <c r="C684" s="585" t="s">
        <v>1625</v>
      </c>
    </row>
    <row r="685" spans="1:3" x14ac:dyDescent="0.25">
      <c r="A685" s="585">
        <v>5094</v>
      </c>
      <c r="B685" s="585"/>
      <c r="C685" s="585" t="s">
        <v>1626</v>
      </c>
    </row>
    <row r="686" spans="1:3" x14ac:dyDescent="0.25">
      <c r="A686" s="585">
        <v>5104</v>
      </c>
      <c r="B686" s="585"/>
      <c r="C686" s="585" t="s">
        <v>1627</v>
      </c>
    </row>
    <row r="687" spans="1:3" x14ac:dyDescent="0.25">
      <c r="A687" s="585">
        <v>5107</v>
      </c>
      <c r="B687" s="585"/>
      <c r="C687" s="585" t="s">
        <v>1628</v>
      </c>
    </row>
    <row r="688" spans="1:3" x14ac:dyDescent="0.25">
      <c r="A688" s="585">
        <v>5147</v>
      </c>
      <c r="B688" s="585"/>
      <c r="C688" s="585" t="s">
        <v>1629</v>
      </c>
    </row>
    <row r="689" spans="1:3" x14ac:dyDescent="0.25">
      <c r="A689" s="585">
        <v>5148</v>
      </c>
      <c r="B689" s="585"/>
      <c r="C689" s="585" t="s">
        <v>1630</v>
      </c>
    </row>
    <row r="690" spans="1:3" x14ac:dyDescent="0.25">
      <c r="A690" s="585">
        <v>5159</v>
      </c>
      <c r="B690" s="585" t="s">
        <v>1631</v>
      </c>
      <c r="C690" s="585" t="s">
        <v>1631</v>
      </c>
    </row>
    <row r="691" spans="1:3" x14ac:dyDescent="0.25">
      <c r="A691" s="585">
        <v>5160</v>
      </c>
      <c r="B691" s="585" t="s">
        <v>3130</v>
      </c>
      <c r="C691" s="585" t="s">
        <v>212</v>
      </c>
    </row>
    <row r="692" spans="1:3" x14ac:dyDescent="0.25">
      <c r="A692" s="585">
        <v>5161</v>
      </c>
      <c r="B692" s="585"/>
      <c r="C692" s="585" t="s">
        <v>1632</v>
      </c>
    </row>
    <row r="693" spans="1:3" x14ac:dyDescent="0.25">
      <c r="A693" s="585">
        <v>5162</v>
      </c>
      <c r="B693" s="585"/>
      <c r="C693" s="585" t="s">
        <v>1633</v>
      </c>
    </row>
    <row r="694" spans="1:3" x14ac:dyDescent="0.25">
      <c r="A694" s="585">
        <v>5163</v>
      </c>
      <c r="B694" s="585"/>
      <c r="C694" s="585" t="s">
        <v>1634</v>
      </c>
    </row>
    <row r="695" spans="1:3" x14ac:dyDescent="0.25">
      <c r="A695" s="585">
        <v>5164</v>
      </c>
      <c r="B695" s="585"/>
      <c r="C695" s="585" t="s">
        <v>1635</v>
      </c>
    </row>
    <row r="696" spans="1:3" x14ac:dyDescent="0.25">
      <c r="A696" s="585">
        <v>5165</v>
      </c>
      <c r="B696" s="585"/>
      <c r="C696" s="585" t="s">
        <v>1636</v>
      </c>
    </row>
    <row r="697" spans="1:3" x14ac:dyDescent="0.25">
      <c r="A697" s="585">
        <v>5166</v>
      </c>
      <c r="B697" s="585"/>
      <c r="C697" s="585" t="s">
        <v>1637</v>
      </c>
    </row>
    <row r="698" spans="1:3" x14ac:dyDescent="0.25">
      <c r="A698" s="585">
        <v>5167</v>
      </c>
      <c r="B698" s="585"/>
      <c r="C698" s="585" t="s">
        <v>1638</v>
      </c>
    </row>
    <row r="699" spans="1:3" x14ac:dyDescent="0.25">
      <c r="A699" s="585">
        <v>5168</v>
      </c>
      <c r="B699" s="585"/>
      <c r="C699" s="585" t="s">
        <v>1639</v>
      </c>
    </row>
    <row r="700" spans="1:3" x14ac:dyDescent="0.25">
      <c r="A700" s="585">
        <v>5169</v>
      </c>
      <c r="B700" s="585"/>
      <c r="C700" s="585" t="s">
        <v>1640</v>
      </c>
    </row>
    <row r="701" spans="1:3" x14ac:dyDescent="0.25">
      <c r="A701" s="585">
        <v>5170</v>
      </c>
      <c r="B701" s="585"/>
      <c r="C701" s="585" t="s">
        <v>1641</v>
      </c>
    </row>
    <row r="702" spans="1:3" x14ac:dyDescent="0.25">
      <c r="A702" s="585">
        <v>5171</v>
      </c>
      <c r="B702" s="585"/>
      <c r="C702" s="585" t="s">
        <v>1642</v>
      </c>
    </row>
    <row r="703" spans="1:3" x14ac:dyDescent="0.25">
      <c r="A703" s="585">
        <v>5172</v>
      </c>
      <c r="B703" s="585"/>
      <c r="C703" s="585" t="s">
        <v>1643</v>
      </c>
    </row>
    <row r="704" spans="1:3" x14ac:dyDescent="0.25">
      <c r="A704" s="585">
        <v>5173</v>
      </c>
      <c r="B704" s="585"/>
      <c r="C704" s="585" t="s">
        <v>1644</v>
      </c>
    </row>
    <row r="705" spans="1:3" x14ac:dyDescent="0.25">
      <c r="A705" s="585">
        <v>5174</v>
      </c>
      <c r="B705" s="585"/>
      <c r="C705" s="585" t="s">
        <v>1645</v>
      </c>
    </row>
    <row r="706" spans="1:3" x14ac:dyDescent="0.25">
      <c r="A706" s="585">
        <v>5175</v>
      </c>
      <c r="B706" s="585"/>
      <c r="C706" s="585" t="s">
        <v>1646</v>
      </c>
    </row>
    <row r="707" spans="1:3" x14ac:dyDescent="0.25">
      <c r="A707" s="585">
        <v>5183</v>
      </c>
      <c r="B707" s="585" t="s">
        <v>1647</v>
      </c>
      <c r="C707" s="585" t="s">
        <v>1647</v>
      </c>
    </row>
    <row r="708" spans="1:3" x14ac:dyDescent="0.25">
      <c r="A708" s="585">
        <v>5216</v>
      </c>
      <c r="B708" s="585" t="s">
        <v>3305</v>
      </c>
      <c r="C708" s="585" t="s">
        <v>205</v>
      </c>
    </row>
    <row r="709" spans="1:3" x14ac:dyDescent="0.25">
      <c r="A709" s="585">
        <v>5217</v>
      </c>
      <c r="B709" s="585" t="s">
        <v>279</v>
      </c>
      <c r="C709" s="585" t="s">
        <v>280</v>
      </c>
    </row>
    <row r="710" spans="1:3" x14ac:dyDescent="0.25">
      <c r="A710" s="585">
        <v>5224</v>
      </c>
      <c r="B710" s="585"/>
      <c r="C710" s="585" t="s">
        <v>1648</v>
      </c>
    </row>
    <row r="711" spans="1:3" x14ac:dyDescent="0.25">
      <c r="A711" s="585">
        <v>5241</v>
      </c>
      <c r="B711" s="585"/>
      <c r="C711" s="585" t="s">
        <v>1649</v>
      </c>
    </row>
    <row r="712" spans="1:3" x14ac:dyDescent="0.25">
      <c r="A712" s="585">
        <v>5255</v>
      </c>
      <c r="B712" s="585"/>
      <c r="C712" s="585" t="s">
        <v>1650</v>
      </c>
    </row>
    <row r="713" spans="1:3" x14ac:dyDescent="0.25">
      <c r="A713" s="585">
        <v>5257</v>
      </c>
      <c r="B713" s="585"/>
      <c r="C713" s="585" t="s">
        <v>1651</v>
      </c>
    </row>
    <row r="714" spans="1:3" x14ac:dyDescent="0.25">
      <c r="A714" s="585">
        <v>5260</v>
      </c>
      <c r="B714" s="585"/>
      <c r="C714" s="585" t="s">
        <v>1652</v>
      </c>
    </row>
    <row r="715" spans="1:3" x14ac:dyDescent="0.25">
      <c r="A715" s="585">
        <v>5270</v>
      </c>
      <c r="B715" s="585"/>
      <c r="C715" s="585" t="s">
        <v>1653</v>
      </c>
    </row>
    <row r="716" spans="1:3" x14ac:dyDescent="0.25">
      <c r="A716" s="585">
        <v>5271</v>
      </c>
      <c r="B716" s="585"/>
      <c r="C716" s="585" t="s">
        <v>1654</v>
      </c>
    </row>
    <row r="717" spans="1:3" x14ac:dyDescent="0.25">
      <c r="A717" s="585">
        <v>5274</v>
      </c>
      <c r="B717" s="585" t="s">
        <v>3306</v>
      </c>
      <c r="C717" s="585" t="s">
        <v>1655</v>
      </c>
    </row>
    <row r="718" spans="1:3" x14ac:dyDescent="0.25">
      <c r="A718" s="585">
        <v>5351</v>
      </c>
      <c r="B718" s="585" t="s">
        <v>3307</v>
      </c>
      <c r="C718" s="585" t="s">
        <v>1656</v>
      </c>
    </row>
    <row r="719" spans="1:3" x14ac:dyDescent="0.25">
      <c r="A719" s="585">
        <v>5352</v>
      </c>
      <c r="B719" s="585" t="s">
        <v>3308</v>
      </c>
      <c r="C719" s="585" t="s">
        <v>1657</v>
      </c>
    </row>
    <row r="720" spans="1:3" x14ac:dyDescent="0.25">
      <c r="A720" s="585">
        <v>5353</v>
      </c>
      <c r="B720" s="585" t="s">
        <v>3309</v>
      </c>
      <c r="C720" s="585" t="s">
        <v>1658</v>
      </c>
    </row>
    <row r="721" spans="1:3" x14ac:dyDescent="0.25">
      <c r="A721" s="585">
        <v>5355</v>
      </c>
      <c r="B721" s="585" t="s">
        <v>3310</v>
      </c>
      <c r="C721" s="585" t="s">
        <v>1659</v>
      </c>
    </row>
    <row r="722" spans="1:3" x14ac:dyDescent="0.25">
      <c r="A722" s="585">
        <v>5363</v>
      </c>
      <c r="B722" s="585" t="s">
        <v>3311</v>
      </c>
      <c r="C722" s="585" t="s">
        <v>1660</v>
      </c>
    </row>
    <row r="723" spans="1:3" x14ac:dyDescent="0.25">
      <c r="A723" s="585">
        <v>5364</v>
      </c>
      <c r="B723" s="585" t="s">
        <v>3312</v>
      </c>
      <c r="C723" s="585" t="s">
        <v>1661</v>
      </c>
    </row>
    <row r="724" spans="1:3" x14ac:dyDescent="0.25">
      <c r="A724" s="585">
        <v>5365</v>
      </c>
      <c r="B724" s="585" t="s">
        <v>3313</v>
      </c>
      <c r="C724" s="585" t="s">
        <v>1662</v>
      </c>
    </row>
    <row r="725" spans="1:3" x14ac:dyDescent="0.25">
      <c r="A725" s="585">
        <v>5366</v>
      </c>
      <c r="B725" s="585" t="s">
        <v>3314</v>
      </c>
      <c r="C725" s="585" t="s">
        <v>1663</v>
      </c>
    </row>
    <row r="726" spans="1:3" x14ac:dyDescent="0.25">
      <c r="A726" s="585">
        <v>5367</v>
      </c>
      <c r="B726" s="585" t="s">
        <v>3315</v>
      </c>
      <c r="C726" s="585" t="s">
        <v>1664</v>
      </c>
    </row>
    <row r="727" spans="1:3" x14ac:dyDescent="0.25">
      <c r="A727" s="585">
        <v>5368</v>
      </c>
      <c r="B727" s="585" t="s">
        <v>3316</v>
      </c>
      <c r="C727" s="585" t="s">
        <v>1665</v>
      </c>
    </row>
    <row r="728" spans="1:3" x14ac:dyDescent="0.25">
      <c r="A728" s="585">
        <v>5369</v>
      </c>
      <c r="B728" s="585" t="s">
        <v>3317</v>
      </c>
      <c r="C728" s="585" t="s">
        <v>1666</v>
      </c>
    </row>
    <row r="729" spans="1:3" x14ac:dyDescent="0.25">
      <c r="A729" s="585">
        <v>5370</v>
      </c>
      <c r="B729" s="585" t="s">
        <v>3318</v>
      </c>
      <c r="C729" s="585" t="s">
        <v>1667</v>
      </c>
    </row>
    <row r="730" spans="1:3" x14ac:dyDescent="0.25">
      <c r="A730" s="585">
        <v>5371</v>
      </c>
      <c r="B730" s="585" t="s">
        <v>3319</v>
      </c>
      <c r="C730" s="585" t="s">
        <v>1668</v>
      </c>
    </row>
    <row r="731" spans="1:3" x14ac:dyDescent="0.25">
      <c r="A731" s="585">
        <v>5373</v>
      </c>
      <c r="B731" s="585" t="s">
        <v>3320</v>
      </c>
      <c r="C731" s="585" t="s">
        <v>1669</v>
      </c>
    </row>
    <row r="732" spans="1:3" x14ac:dyDescent="0.25">
      <c r="A732" s="585">
        <v>5376</v>
      </c>
      <c r="B732" s="585"/>
      <c r="C732" s="585" t="s">
        <v>1670</v>
      </c>
    </row>
    <row r="733" spans="1:3" x14ac:dyDescent="0.25">
      <c r="A733" s="585">
        <v>5377</v>
      </c>
      <c r="B733" s="585" t="s">
        <v>3321</v>
      </c>
      <c r="C733" s="585" t="s">
        <v>1671</v>
      </c>
    </row>
    <row r="734" spans="1:3" x14ac:dyDescent="0.25">
      <c r="A734" s="585">
        <v>5378</v>
      </c>
      <c r="B734" s="585" t="s">
        <v>3322</v>
      </c>
      <c r="C734" s="585" t="s">
        <v>1672</v>
      </c>
    </row>
    <row r="735" spans="1:3" x14ac:dyDescent="0.25">
      <c r="A735" s="585">
        <v>5379</v>
      </c>
      <c r="B735" s="585" t="s">
        <v>3323</v>
      </c>
      <c r="C735" s="585" t="s">
        <v>1673</v>
      </c>
    </row>
    <row r="736" spans="1:3" x14ac:dyDescent="0.25">
      <c r="A736" s="585">
        <v>5381</v>
      </c>
      <c r="B736" s="585" t="s">
        <v>3324</v>
      </c>
      <c r="C736" s="585" t="s">
        <v>1674</v>
      </c>
    </row>
    <row r="737" spans="1:3" x14ac:dyDescent="0.25">
      <c r="A737" s="585">
        <v>5382</v>
      </c>
      <c r="B737" s="585" t="s">
        <v>3325</v>
      </c>
      <c r="C737" s="585" t="s">
        <v>1675</v>
      </c>
    </row>
    <row r="738" spans="1:3" x14ac:dyDescent="0.25">
      <c r="A738" s="585">
        <v>5384</v>
      </c>
      <c r="B738" s="585" t="s">
        <v>3326</v>
      </c>
      <c r="C738" s="585" t="s">
        <v>1676</v>
      </c>
    </row>
    <row r="739" spans="1:3" x14ac:dyDescent="0.25">
      <c r="A739" s="585">
        <v>5385</v>
      </c>
      <c r="B739" s="585" t="s">
        <v>1677</v>
      </c>
      <c r="C739" s="585" t="s">
        <v>1678</v>
      </c>
    </row>
    <row r="740" spans="1:3" x14ac:dyDescent="0.25">
      <c r="A740" s="585">
        <v>5386</v>
      </c>
      <c r="B740" s="585" t="s">
        <v>3327</v>
      </c>
      <c r="C740" s="585" t="s">
        <v>1679</v>
      </c>
    </row>
    <row r="741" spans="1:3" x14ac:dyDescent="0.25">
      <c r="A741" s="585">
        <v>5393</v>
      </c>
      <c r="B741" s="585" t="s">
        <v>1680</v>
      </c>
      <c r="C741" s="585" t="s">
        <v>1680</v>
      </c>
    </row>
    <row r="742" spans="1:3" x14ac:dyDescent="0.25">
      <c r="A742" s="585">
        <v>5400</v>
      </c>
      <c r="B742" s="585"/>
      <c r="C742" s="585" t="s">
        <v>1681</v>
      </c>
    </row>
    <row r="743" spans="1:3" x14ac:dyDescent="0.25">
      <c r="A743" s="585">
        <v>5469</v>
      </c>
      <c r="B743" s="585"/>
      <c r="C743" s="585" t="s">
        <v>1682</v>
      </c>
    </row>
    <row r="744" spans="1:3" x14ac:dyDescent="0.25">
      <c r="A744" s="585">
        <v>5470</v>
      </c>
      <c r="B744" s="585"/>
      <c r="C744" s="585" t="s">
        <v>1683</v>
      </c>
    </row>
    <row r="745" spans="1:3" x14ac:dyDescent="0.25">
      <c r="A745" s="585">
        <v>5471</v>
      </c>
      <c r="B745" s="585"/>
      <c r="C745" s="585" t="s">
        <v>1684</v>
      </c>
    </row>
    <row r="746" spans="1:3" x14ac:dyDescent="0.25">
      <c r="A746" s="585">
        <v>5472</v>
      </c>
      <c r="B746" s="585"/>
      <c r="C746" s="585" t="s">
        <v>1685</v>
      </c>
    </row>
    <row r="747" spans="1:3" x14ac:dyDescent="0.25">
      <c r="A747" s="585">
        <v>5473</v>
      </c>
      <c r="B747" s="585"/>
      <c r="C747" s="585" t="s">
        <v>1686</v>
      </c>
    </row>
    <row r="748" spans="1:3" x14ac:dyDescent="0.25">
      <c r="A748" s="585">
        <v>5485</v>
      </c>
      <c r="B748" s="585"/>
      <c r="C748" s="585" t="s">
        <v>1687</v>
      </c>
    </row>
    <row r="749" spans="1:3" x14ac:dyDescent="0.25">
      <c r="A749" s="585">
        <v>5525</v>
      </c>
      <c r="B749" s="585"/>
      <c r="C749" s="585" t="s">
        <v>1688</v>
      </c>
    </row>
    <row r="750" spans="1:3" x14ac:dyDescent="0.25">
      <c r="A750" s="585">
        <v>5584</v>
      </c>
      <c r="B750" s="585"/>
      <c r="C750" s="585" t="s">
        <v>1689</v>
      </c>
    </row>
    <row r="751" spans="1:3" x14ac:dyDescent="0.25">
      <c r="A751" s="585">
        <v>5596</v>
      </c>
      <c r="B751" s="585"/>
      <c r="C751" s="585" t="s">
        <v>1690</v>
      </c>
    </row>
    <row r="752" spans="1:3" x14ac:dyDescent="0.25">
      <c r="A752" s="585">
        <v>5613</v>
      </c>
      <c r="B752" s="585"/>
      <c r="C752" s="585" t="s">
        <v>1691</v>
      </c>
    </row>
    <row r="753" spans="1:3" x14ac:dyDescent="0.25">
      <c r="A753" s="585">
        <v>5614</v>
      </c>
      <c r="B753" s="585"/>
      <c r="C753" s="585" t="s">
        <v>1692</v>
      </c>
    </row>
    <row r="754" spans="1:3" x14ac:dyDescent="0.25">
      <c r="A754" s="585">
        <v>5616</v>
      </c>
      <c r="B754" s="585"/>
      <c r="C754" s="585" t="s">
        <v>1693</v>
      </c>
    </row>
    <row r="755" spans="1:3" x14ac:dyDescent="0.25">
      <c r="A755" s="585">
        <v>5617</v>
      </c>
      <c r="B755" s="585"/>
      <c r="C755" s="585" t="s">
        <v>1694</v>
      </c>
    </row>
    <row r="756" spans="1:3" x14ac:dyDescent="0.25">
      <c r="A756" s="585">
        <v>5618</v>
      </c>
      <c r="B756" s="585"/>
      <c r="C756" s="585" t="s">
        <v>1695</v>
      </c>
    </row>
    <row r="757" spans="1:3" x14ac:dyDescent="0.25">
      <c r="A757" s="585">
        <v>5625</v>
      </c>
      <c r="B757" s="585"/>
      <c r="C757" s="585" t="s">
        <v>1696</v>
      </c>
    </row>
    <row r="758" spans="1:3" x14ac:dyDescent="0.25">
      <c r="A758" s="585">
        <v>5636</v>
      </c>
      <c r="B758" s="585"/>
      <c r="C758" s="585" t="s">
        <v>1697</v>
      </c>
    </row>
    <row r="759" spans="1:3" x14ac:dyDescent="0.25">
      <c r="A759" s="585">
        <v>5647</v>
      </c>
      <c r="B759" s="585"/>
      <c r="C759" s="585" t="s">
        <v>1698</v>
      </c>
    </row>
    <row r="760" spans="1:3" x14ac:dyDescent="0.25">
      <c r="A760" s="585">
        <v>5697</v>
      </c>
      <c r="B760" s="585" t="s">
        <v>3328</v>
      </c>
      <c r="C760" s="585" t="s">
        <v>215</v>
      </c>
    </row>
    <row r="761" spans="1:3" x14ac:dyDescent="0.25">
      <c r="A761" s="585">
        <v>5698</v>
      </c>
      <c r="B761" s="585"/>
      <c r="C761" s="585" t="s">
        <v>1699</v>
      </c>
    </row>
    <row r="762" spans="1:3" x14ac:dyDescent="0.25">
      <c r="A762" s="585">
        <v>5705</v>
      </c>
      <c r="B762" s="585" t="s">
        <v>1700</v>
      </c>
      <c r="C762" s="585" t="s">
        <v>1700</v>
      </c>
    </row>
    <row r="763" spans="1:3" x14ac:dyDescent="0.25">
      <c r="A763" s="585">
        <v>5706</v>
      </c>
      <c r="B763" s="585" t="s">
        <v>1701</v>
      </c>
      <c r="C763" s="585" t="s">
        <v>1702</v>
      </c>
    </row>
    <row r="764" spans="1:3" x14ac:dyDescent="0.25">
      <c r="A764" s="585">
        <v>5707</v>
      </c>
      <c r="B764" s="585" t="s">
        <v>3131</v>
      </c>
      <c r="C764" s="585" t="s">
        <v>214</v>
      </c>
    </row>
    <row r="765" spans="1:3" x14ac:dyDescent="0.25">
      <c r="A765" s="585">
        <v>5735</v>
      </c>
      <c r="B765" s="585"/>
      <c r="C765" s="585" t="s">
        <v>1703</v>
      </c>
    </row>
    <row r="766" spans="1:3" x14ac:dyDescent="0.25">
      <c r="A766" s="585">
        <v>5785</v>
      </c>
      <c r="B766" s="585"/>
      <c r="C766" s="585" t="s">
        <v>1704</v>
      </c>
    </row>
    <row r="767" spans="1:3" x14ac:dyDescent="0.25">
      <c r="A767" s="585">
        <v>5824</v>
      </c>
      <c r="B767" s="585"/>
      <c r="C767" s="585" t="s">
        <v>1693</v>
      </c>
    </row>
    <row r="768" spans="1:3" x14ac:dyDescent="0.25">
      <c r="A768" s="585">
        <v>5940</v>
      </c>
      <c r="B768" s="585" t="s">
        <v>1705</v>
      </c>
      <c r="C768" s="585" t="s">
        <v>1705</v>
      </c>
    </row>
    <row r="769" spans="1:3" x14ac:dyDescent="0.25">
      <c r="A769" s="585">
        <v>5949</v>
      </c>
      <c r="B769" s="585"/>
      <c r="C769" s="585" t="s">
        <v>1706</v>
      </c>
    </row>
    <row r="770" spans="1:3" x14ac:dyDescent="0.25">
      <c r="A770" s="585">
        <v>5950</v>
      </c>
      <c r="B770" s="585"/>
      <c r="C770" s="585" t="s">
        <v>1707</v>
      </c>
    </row>
    <row r="771" spans="1:3" x14ac:dyDescent="0.25">
      <c r="A771" s="585">
        <v>5953</v>
      </c>
      <c r="B771" s="585"/>
      <c r="C771" s="585" t="s">
        <v>1708</v>
      </c>
    </row>
    <row r="772" spans="1:3" x14ac:dyDescent="0.25">
      <c r="A772" s="585">
        <v>5954</v>
      </c>
      <c r="B772" s="585"/>
      <c r="C772" s="585" t="s">
        <v>1709</v>
      </c>
    </row>
    <row r="773" spans="1:3" x14ac:dyDescent="0.25">
      <c r="A773" s="585">
        <v>5961</v>
      </c>
      <c r="B773" s="585"/>
      <c r="C773" s="585" t="s">
        <v>1710</v>
      </c>
    </row>
    <row r="774" spans="1:3" x14ac:dyDescent="0.25">
      <c r="A774" s="585">
        <v>5962</v>
      </c>
      <c r="B774" s="585"/>
      <c r="C774" s="585" t="s">
        <v>1711</v>
      </c>
    </row>
    <row r="775" spans="1:3" x14ac:dyDescent="0.25">
      <c r="A775" s="585">
        <v>5965</v>
      </c>
      <c r="B775" s="585" t="s">
        <v>1712</v>
      </c>
      <c r="C775" s="585" t="s">
        <v>1712</v>
      </c>
    </row>
    <row r="776" spans="1:3" x14ac:dyDescent="0.25">
      <c r="A776" s="585">
        <v>5967</v>
      </c>
      <c r="B776" s="585"/>
      <c r="C776" s="585" t="s">
        <v>1713</v>
      </c>
    </row>
    <row r="777" spans="1:3" x14ac:dyDescent="0.25">
      <c r="A777" s="585">
        <v>5969</v>
      </c>
      <c r="B777" s="585"/>
      <c r="C777" s="585" t="s">
        <v>1714</v>
      </c>
    </row>
    <row r="778" spans="1:3" x14ac:dyDescent="0.25">
      <c r="A778" s="585">
        <v>5970</v>
      </c>
      <c r="B778" s="585"/>
      <c r="C778" s="585" t="s">
        <v>1715</v>
      </c>
    </row>
    <row r="779" spans="1:3" x14ac:dyDescent="0.25">
      <c r="A779" s="585">
        <v>5971</v>
      </c>
      <c r="B779" s="585"/>
      <c r="C779" s="585" t="s">
        <v>1716</v>
      </c>
    </row>
    <row r="780" spans="1:3" x14ac:dyDescent="0.25">
      <c r="A780" s="585">
        <v>5972</v>
      </c>
      <c r="B780" s="585"/>
      <c r="C780" s="585" t="s">
        <v>1717</v>
      </c>
    </row>
    <row r="781" spans="1:3" x14ac:dyDescent="0.25">
      <c r="A781" s="585">
        <v>5975</v>
      </c>
      <c r="B781" s="585"/>
      <c r="C781" s="585" t="s">
        <v>1718</v>
      </c>
    </row>
    <row r="782" spans="1:3" x14ac:dyDescent="0.25">
      <c r="A782" s="585">
        <v>5996</v>
      </c>
      <c r="B782" s="585"/>
      <c r="C782" s="585" t="s">
        <v>1719</v>
      </c>
    </row>
    <row r="783" spans="1:3" x14ac:dyDescent="0.25">
      <c r="A783" s="585">
        <v>6009</v>
      </c>
      <c r="B783" s="585"/>
      <c r="C783" s="585" t="s">
        <v>1720</v>
      </c>
    </row>
    <row r="784" spans="1:3" x14ac:dyDescent="0.25">
      <c r="A784" s="585">
        <v>6040</v>
      </c>
      <c r="B784" s="585"/>
      <c r="C784" s="585" t="s">
        <v>1721</v>
      </c>
    </row>
    <row r="785" spans="1:3" x14ac:dyDescent="0.25">
      <c r="A785" s="585">
        <v>6072</v>
      </c>
      <c r="B785" s="585" t="s">
        <v>3329</v>
      </c>
      <c r="C785" s="585" t="s">
        <v>217</v>
      </c>
    </row>
    <row r="786" spans="1:3" x14ac:dyDescent="0.25">
      <c r="A786" s="585">
        <v>6073</v>
      </c>
      <c r="B786" s="585"/>
      <c r="C786" s="585" t="s">
        <v>1722</v>
      </c>
    </row>
    <row r="787" spans="1:3" x14ac:dyDescent="0.25">
      <c r="A787" s="585">
        <v>6098</v>
      </c>
      <c r="B787" s="585"/>
      <c r="C787" s="585" t="s">
        <v>1723</v>
      </c>
    </row>
    <row r="788" spans="1:3" x14ac:dyDescent="0.25">
      <c r="A788" s="585">
        <v>6149</v>
      </c>
      <c r="B788" s="585"/>
      <c r="C788" s="585" t="s">
        <v>1724</v>
      </c>
    </row>
    <row r="789" spans="1:3" x14ac:dyDescent="0.25">
      <c r="A789" s="585">
        <v>6252</v>
      </c>
      <c r="B789" s="585" t="s">
        <v>1725</v>
      </c>
      <c r="C789" s="585" t="s">
        <v>1725</v>
      </c>
    </row>
    <row r="790" spans="1:3" x14ac:dyDescent="0.25">
      <c r="A790" s="585">
        <v>6272</v>
      </c>
      <c r="B790" s="585"/>
      <c r="C790" s="585" t="s">
        <v>1726</v>
      </c>
    </row>
    <row r="791" spans="1:3" x14ac:dyDescent="0.25">
      <c r="A791" s="585">
        <v>6274</v>
      </c>
      <c r="B791" s="585"/>
      <c r="C791" s="585" t="s">
        <v>1727</v>
      </c>
    </row>
    <row r="792" spans="1:3" x14ac:dyDescent="0.25">
      <c r="A792" s="585">
        <v>6275</v>
      </c>
      <c r="B792" s="585"/>
      <c r="C792" s="585" t="s">
        <v>1728</v>
      </c>
    </row>
    <row r="793" spans="1:3" x14ac:dyDescent="0.25">
      <c r="A793" s="585">
        <v>6277</v>
      </c>
      <c r="B793" s="585"/>
      <c r="C793" s="585" t="s">
        <v>1729</v>
      </c>
    </row>
    <row r="794" spans="1:3" x14ac:dyDescent="0.25">
      <c r="A794" s="585">
        <v>6284</v>
      </c>
      <c r="B794" s="585"/>
      <c r="C794" s="585" t="s">
        <v>1730</v>
      </c>
    </row>
    <row r="795" spans="1:3" x14ac:dyDescent="0.25">
      <c r="A795" s="585">
        <v>6293</v>
      </c>
      <c r="B795" s="585"/>
      <c r="C795" s="585" t="s">
        <v>1731</v>
      </c>
    </row>
    <row r="796" spans="1:3" x14ac:dyDescent="0.25">
      <c r="A796" s="585">
        <v>6296</v>
      </c>
      <c r="B796" s="585"/>
      <c r="C796" s="585" t="s">
        <v>1732</v>
      </c>
    </row>
    <row r="797" spans="1:3" x14ac:dyDescent="0.25">
      <c r="A797" s="585">
        <v>6300</v>
      </c>
      <c r="B797" s="585"/>
      <c r="C797" s="585" t="s">
        <v>1733</v>
      </c>
    </row>
    <row r="798" spans="1:3" x14ac:dyDescent="0.25">
      <c r="A798" s="585">
        <v>6363</v>
      </c>
      <c r="B798" s="585"/>
      <c r="C798" s="585" t="s">
        <v>1734</v>
      </c>
    </row>
    <row r="799" spans="1:3" x14ac:dyDescent="0.25">
      <c r="A799" s="585">
        <v>6392</v>
      </c>
      <c r="B799" s="585"/>
      <c r="C799" s="585" t="s">
        <v>1735</v>
      </c>
    </row>
    <row r="800" spans="1:3" x14ac:dyDescent="0.25">
      <c r="A800" s="585">
        <v>6393</v>
      </c>
      <c r="B800" s="585"/>
      <c r="C800" s="585" t="s">
        <v>1736</v>
      </c>
    </row>
    <row r="801" spans="1:3" x14ac:dyDescent="0.25">
      <c r="A801" s="585">
        <v>6422</v>
      </c>
      <c r="B801" s="585"/>
      <c r="C801" s="585" t="s">
        <v>1510</v>
      </c>
    </row>
    <row r="802" spans="1:3" x14ac:dyDescent="0.25">
      <c r="A802" s="585">
        <v>6445</v>
      </c>
      <c r="B802" s="585"/>
      <c r="C802" s="585" t="s">
        <v>1737</v>
      </c>
    </row>
    <row r="803" spans="1:3" x14ac:dyDescent="0.25">
      <c r="A803" s="585">
        <v>6463</v>
      </c>
      <c r="B803" s="585"/>
      <c r="C803" s="585" t="s">
        <v>1738</v>
      </c>
    </row>
    <row r="804" spans="1:3" x14ac:dyDescent="0.25">
      <c r="A804" s="585">
        <v>6464</v>
      </c>
      <c r="B804" s="585"/>
      <c r="C804" s="585" t="s">
        <v>1739</v>
      </c>
    </row>
    <row r="805" spans="1:3" x14ac:dyDescent="0.25">
      <c r="A805" s="585">
        <v>6471</v>
      </c>
      <c r="B805" s="585"/>
      <c r="C805" s="585" t="s">
        <v>1740</v>
      </c>
    </row>
    <row r="806" spans="1:3" x14ac:dyDescent="0.25">
      <c r="A806" s="585">
        <v>6481</v>
      </c>
      <c r="B806" s="585"/>
      <c r="C806" s="585" t="s">
        <v>1741</v>
      </c>
    </row>
    <row r="807" spans="1:3" x14ac:dyDescent="0.25">
      <c r="A807" s="585">
        <v>6483</v>
      </c>
      <c r="B807" s="585"/>
      <c r="C807" s="585" t="s">
        <v>1742</v>
      </c>
    </row>
    <row r="808" spans="1:3" x14ac:dyDescent="0.25">
      <c r="A808" s="585">
        <v>6491</v>
      </c>
      <c r="B808" s="585"/>
      <c r="C808" s="585" t="s">
        <v>1743</v>
      </c>
    </row>
    <row r="809" spans="1:3" x14ac:dyDescent="0.25">
      <c r="A809" s="585">
        <v>6492</v>
      </c>
      <c r="B809" s="585"/>
      <c r="C809" s="585" t="s">
        <v>1744</v>
      </c>
    </row>
    <row r="810" spans="1:3" x14ac:dyDescent="0.25">
      <c r="A810" s="585">
        <v>6495</v>
      </c>
      <c r="B810" s="585"/>
      <c r="C810" s="585" t="s">
        <v>1745</v>
      </c>
    </row>
    <row r="811" spans="1:3" x14ac:dyDescent="0.25">
      <c r="A811" s="585">
        <v>6501</v>
      </c>
      <c r="B811" s="585"/>
      <c r="C811" s="585" t="s">
        <v>1746</v>
      </c>
    </row>
    <row r="812" spans="1:3" x14ac:dyDescent="0.25">
      <c r="A812" s="585">
        <v>6504</v>
      </c>
      <c r="B812" s="585"/>
      <c r="C812" s="585" t="s">
        <v>1747</v>
      </c>
    </row>
    <row r="813" spans="1:3" x14ac:dyDescent="0.25">
      <c r="A813" s="585">
        <v>6505</v>
      </c>
      <c r="B813" s="585"/>
      <c r="C813" s="585" t="s">
        <v>869</v>
      </c>
    </row>
    <row r="814" spans="1:3" x14ac:dyDescent="0.25">
      <c r="A814" s="585">
        <v>6512</v>
      </c>
      <c r="B814" s="585"/>
      <c r="C814" s="585" t="s">
        <v>1748</v>
      </c>
    </row>
    <row r="815" spans="1:3" x14ac:dyDescent="0.25">
      <c r="A815" s="585">
        <v>6517</v>
      </c>
      <c r="B815" s="585"/>
      <c r="C815" s="585" t="s">
        <v>1749</v>
      </c>
    </row>
    <row r="816" spans="1:3" x14ac:dyDescent="0.25">
      <c r="A816" s="585">
        <v>6518</v>
      </c>
      <c r="B816" s="585"/>
      <c r="C816" s="585" t="s">
        <v>1750</v>
      </c>
    </row>
    <row r="817" spans="1:3" x14ac:dyDescent="0.25">
      <c r="A817" s="585">
        <v>6555</v>
      </c>
      <c r="B817" s="585"/>
      <c r="C817" s="585" t="s">
        <v>1751</v>
      </c>
    </row>
    <row r="818" spans="1:3" x14ac:dyDescent="0.25">
      <c r="A818" s="585">
        <v>6556</v>
      </c>
      <c r="B818" s="585"/>
      <c r="C818" s="585" t="s">
        <v>1752</v>
      </c>
    </row>
    <row r="819" spans="1:3" x14ac:dyDescent="0.25">
      <c r="A819" s="585">
        <v>6563</v>
      </c>
      <c r="B819" s="585"/>
      <c r="C819" s="585" t="s">
        <v>1753</v>
      </c>
    </row>
    <row r="820" spans="1:3" x14ac:dyDescent="0.25">
      <c r="A820" s="585">
        <v>6567</v>
      </c>
      <c r="B820" s="585"/>
      <c r="C820" s="585" t="s">
        <v>1754</v>
      </c>
    </row>
    <row r="821" spans="1:3" x14ac:dyDescent="0.25">
      <c r="A821" s="585">
        <v>6584</v>
      </c>
      <c r="B821" s="585"/>
      <c r="C821" s="585" t="s">
        <v>1755</v>
      </c>
    </row>
    <row r="822" spans="1:3" x14ac:dyDescent="0.25">
      <c r="A822" s="585">
        <v>6585</v>
      </c>
      <c r="B822" s="585" t="s">
        <v>299</v>
      </c>
      <c r="C822" s="585" t="s">
        <v>300</v>
      </c>
    </row>
    <row r="823" spans="1:3" x14ac:dyDescent="0.25">
      <c r="A823" s="585">
        <v>6587</v>
      </c>
      <c r="B823" s="585" t="s">
        <v>309</v>
      </c>
      <c r="C823" s="585" t="s">
        <v>310</v>
      </c>
    </row>
    <row r="824" spans="1:3" x14ac:dyDescent="0.25">
      <c r="A824" s="585">
        <v>6590</v>
      </c>
      <c r="B824" s="585"/>
      <c r="C824" s="585" t="s">
        <v>1756</v>
      </c>
    </row>
    <row r="825" spans="1:3" x14ac:dyDescent="0.25">
      <c r="A825" s="585">
        <v>6591</v>
      </c>
      <c r="B825" s="585"/>
      <c r="C825" s="585" t="s">
        <v>1757</v>
      </c>
    </row>
    <row r="826" spans="1:3" x14ac:dyDescent="0.25">
      <c r="A826" s="585">
        <v>6592</v>
      </c>
      <c r="B826" s="585"/>
      <c r="C826" s="585" t="s">
        <v>1758</v>
      </c>
    </row>
    <row r="827" spans="1:3" x14ac:dyDescent="0.25">
      <c r="A827" s="585">
        <v>6593</v>
      </c>
      <c r="B827" s="585"/>
      <c r="C827" s="585" t="s">
        <v>1759</v>
      </c>
    </row>
    <row r="828" spans="1:3" x14ac:dyDescent="0.25">
      <c r="A828" s="585">
        <v>6598</v>
      </c>
      <c r="B828" s="585" t="s">
        <v>1760</v>
      </c>
      <c r="C828" s="585" t="s">
        <v>1761</v>
      </c>
    </row>
    <row r="829" spans="1:3" x14ac:dyDescent="0.25">
      <c r="A829" s="585">
        <v>6599</v>
      </c>
      <c r="B829" s="585"/>
      <c r="C829" s="585" t="s">
        <v>1762</v>
      </c>
    </row>
    <row r="830" spans="1:3" x14ac:dyDescent="0.25">
      <c r="A830" s="585">
        <v>6600</v>
      </c>
      <c r="B830" s="585" t="s">
        <v>305</v>
      </c>
      <c r="C830" s="585" t="s">
        <v>306</v>
      </c>
    </row>
    <row r="831" spans="1:3" x14ac:dyDescent="0.25">
      <c r="A831" s="585">
        <v>6604</v>
      </c>
      <c r="B831" s="585"/>
      <c r="C831" s="585" t="s">
        <v>1763</v>
      </c>
    </row>
    <row r="832" spans="1:3" x14ac:dyDescent="0.25">
      <c r="A832" s="585">
        <v>6608</v>
      </c>
      <c r="B832" s="585"/>
      <c r="C832" s="585" t="s">
        <v>1764</v>
      </c>
    </row>
    <row r="833" spans="1:3" x14ac:dyDescent="0.25">
      <c r="A833" s="585">
        <v>6609</v>
      </c>
      <c r="B833" s="585" t="s">
        <v>3330</v>
      </c>
      <c r="C833" s="585" t="s">
        <v>1765</v>
      </c>
    </row>
    <row r="834" spans="1:3" x14ac:dyDescent="0.25">
      <c r="A834" s="585">
        <v>6610</v>
      </c>
      <c r="B834" s="585" t="s">
        <v>1766</v>
      </c>
      <c r="C834" s="585" t="s">
        <v>1767</v>
      </c>
    </row>
    <row r="835" spans="1:3" x14ac:dyDescent="0.25">
      <c r="A835" s="585">
        <v>6611</v>
      </c>
      <c r="B835" s="585" t="s">
        <v>276</v>
      </c>
      <c r="C835" s="585" t="s">
        <v>277</v>
      </c>
    </row>
    <row r="836" spans="1:3" x14ac:dyDescent="0.25">
      <c r="A836" s="585">
        <v>6612</v>
      </c>
      <c r="B836" s="585" t="s">
        <v>303</v>
      </c>
      <c r="C836" s="585" t="s">
        <v>304</v>
      </c>
    </row>
    <row r="837" spans="1:3" x14ac:dyDescent="0.25">
      <c r="A837" s="585">
        <v>6619</v>
      </c>
      <c r="B837" s="585"/>
      <c r="C837" s="585" t="s">
        <v>1768</v>
      </c>
    </row>
    <row r="838" spans="1:3" x14ac:dyDescent="0.25">
      <c r="A838" s="585">
        <v>6626</v>
      </c>
      <c r="B838" s="585" t="s">
        <v>1769</v>
      </c>
      <c r="C838" s="585" t="s">
        <v>1769</v>
      </c>
    </row>
    <row r="839" spans="1:3" x14ac:dyDescent="0.25">
      <c r="A839" s="585">
        <v>6627</v>
      </c>
      <c r="B839" s="585"/>
      <c r="C839" s="585" t="s">
        <v>1770</v>
      </c>
    </row>
    <row r="840" spans="1:3" x14ac:dyDescent="0.25">
      <c r="A840" s="585">
        <v>6665</v>
      </c>
      <c r="B840" s="585"/>
      <c r="C840" s="585" t="s">
        <v>1771</v>
      </c>
    </row>
    <row r="841" spans="1:3" x14ac:dyDescent="0.25">
      <c r="A841" s="585">
        <v>6673</v>
      </c>
      <c r="B841" s="585"/>
      <c r="C841" s="585" t="s">
        <v>1772</v>
      </c>
    </row>
    <row r="842" spans="1:3" x14ac:dyDescent="0.25">
      <c r="A842" s="585">
        <v>6683</v>
      </c>
      <c r="B842" s="585"/>
      <c r="C842" s="585" t="s">
        <v>1773</v>
      </c>
    </row>
    <row r="843" spans="1:3" x14ac:dyDescent="0.25">
      <c r="A843" s="585">
        <v>6686</v>
      </c>
      <c r="B843" s="585"/>
      <c r="C843" s="585" t="s">
        <v>1774</v>
      </c>
    </row>
    <row r="844" spans="1:3" x14ac:dyDescent="0.25">
      <c r="A844" s="585">
        <v>6688</v>
      </c>
      <c r="B844" s="585"/>
      <c r="C844" s="585" t="s">
        <v>1775</v>
      </c>
    </row>
    <row r="845" spans="1:3" x14ac:dyDescent="0.25">
      <c r="A845" s="585">
        <v>6689</v>
      </c>
      <c r="B845" s="585"/>
      <c r="C845" s="585" t="s">
        <v>1776</v>
      </c>
    </row>
    <row r="846" spans="1:3" x14ac:dyDescent="0.25">
      <c r="A846" s="585">
        <v>6745</v>
      </c>
      <c r="B846" s="585"/>
      <c r="C846" s="585" t="s">
        <v>1777</v>
      </c>
    </row>
    <row r="847" spans="1:3" x14ac:dyDescent="0.25">
      <c r="A847" s="585">
        <v>6847</v>
      </c>
      <c r="B847" s="585"/>
      <c r="C847" s="585" t="s">
        <v>1778</v>
      </c>
    </row>
    <row r="848" spans="1:3" x14ac:dyDescent="0.25">
      <c r="A848" s="585">
        <v>6859</v>
      </c>
      <c r="B848" s="585"/>
      <c r="C848" s="585" t="s">
        <v>1779</v>
      </c>
    </row>
    <row r="849" spans="1:3" x14ac:dyDescent="0.25">
      <c r="A849" s="585">
        <v>6863</v>
      </c>
      <c r="B849" s="585"/>
      <c r="C849" s="585" t="s">
        <v>1780</v>
      </c>
    </row>
    <row r="850" spans="1:3" x14ac:dyDescent="0.25">
      <c r="A850" s="585">
        <v>6872</v>
      </c>
      <c r="B850" s="585"/>
      <c r="C850" s="585" t="s">
        <v>1781</v>
      </c>
    </row>
    <row r="851" spans="1:3" x14ac:dyDescent="0.25">
      <c r="A851" s="585">
        <v>6873</v>
      </c>
      <c r="B851" s="585"/>
      <c r="C851" s="585" t="s">
        <v>1782</v>
      </c>
    </row>
    <row r="852" spans="1:3" x14ac:dyDescent="0.25">
      <c r="A852" s="585">
        <v>6876</v>
      </c>
      <c r="B852" s="585"/>
      <c r="C852" s="585" t="s">
        <v>1783</v>
      </c>
    </row>
    <row r="853" spans="1:3" x14ac:dyDescent="0.25">
      <c r="A853" s="585">
        <v>6879</v>
      </c>
      <c r="B853" s="585"/>
      <c r="C853" s="585" t="s">
        <v>1784</v>
      </c>
    </row>
    <row r="854" spans="1:3" x14ac:dyDescent="0.25">
      <c r="A854" s="585">
        <v>6880</v>
      </c>
      <c r="B854" s="585"/>
      <c r="C854" s="585" t="s">
        <v>1785</v>
      </c>
    </row>
    <row r="855" spans="1:3" x14ac:dyDescent="0.25">
      <c r="A855" s="585">
        <v>6882</v>
      </c>
      <c r="B855" s="585"/>
      <c r="C855" s="585" t="s">
        <v>1786</v>
      </c>
    </row>
    <row r="856" spans="1:3" x14ac:dyDescent="0.25">
      <c r="A856" s="585">
        <v>6885</v>
      </c>
      <c r="B856" s="585"/>
      <c r="C856" s="585" t="s">
        <v>1787</v>
      </c>
    </row>
    <row r="857" spans="1:3" x14ac:dyDescent="0.25">
      <c r="A857" s="585">
        <v>6896</v>
      </c>
      <c r="B857" s="585" t="s">
        <v>3331</v>
      </c>
      <c r="C857" s="585" t="s">
        <v>1788</v>
      </c>
    </row>
    <row r="858" spans="1:3" x14ac:dyDescent="0.25">
      <c r="A858" s="585">
        <v>6897</v>
      </c>
      <c r="B858" s="585" t="s">
        <v>3332</v>
      </c>
      <c r="C858" s="585" t="s">
        <v>1789</v>
      </c>
    </row>
    <row r="859" spans="1:3" x14ac:dyDescent="0.25">
      <c r="A859" s="585">
        <v>6898</v>
      </c>
      <c r="B859" s="585" t="s">
        <v>3333</v>
      </c>
      <c r="C859" s="585" t="s">
        <v>1790</v>
      </c>
    </row>
    <row r="860" spans="1:3" x14ac:dyDescent="0.25">
      <c r="A860" s="585">
        <v>6899</v>
      </c>
      <c r="B860" s="585" t="s">
        <v>1791</v>
      </c>
      <c r="C860" s="585" t="s">
        <v>1791</v>
      </c>
    </row>
    <row r="861" spans="1:3" x14ac:dyDescent="0.25">
      <c r="A861" s="585">
        <v>6911</v>
      </c>
      <c r="B861" s="585"/>
      <c r="C861" s="585" t="s">
        <v>1792</v>
      </c>
    </row>
    <row r="862" spans="1:3" x14ac:dyDescent="0.25">
      <c r="A862" s="585">
        <v>6913</v>
      </c>
      <c r="B862" s="585"/>
      <c r="C862" s="585" t="s">
        <v>1793</v>
      </c>
    </row>
    <row r="863" spans="1:3" x14ac:dyDescent="0.25">
      <c r="A863" s="585">
        <v>6915</v>
      </c>
      <c r="B863" s="585"/>
      <c r="C863" s="585" t="s">
        <v>1794</v>
      </c>
    </row>
    <row r="864" spans="1:3" x14ac:dyDescent="0.25">
      <c r="A864" s="585">
        <v>6919</v>
      </c>
      <c r="B864" s="585"/>
      <c r="C864" s="585" t="s">
        <v>1795</v>
      </c>
    </row>
    <row r="865" spans="1:3" x14ac:dyDescent="0.25">
      <c r="A865" s="585">
        <v>6921</v>
      </c>
      <c r="B865" s="585"/>
      <c r="C865" s="585" t="s">
        <v>1796</v>
      </c>
    </row>
    <row r="866" spans="1:3" x14ac:dyDescent="0.25">
      <c r="A866" s="585">
        <v>6923</v>
      </c>
      <c r="B866" s="585" t="s">
        <v>1797</v>
      </c>
      <c r="C866" s="585" t="s">
        <v>1798</v>
      </c>
    </row>
    <row r="867" spans="1:3" x14ac:dyDescent="0.25">
      <c r="A867" s="585">
        <v>6961</v>
      </c>
      <c r="B867" s="585"/>
      <c r="C867" s="585" t="s">
        <v>1799</v>
      </c>
    </row>
    <row r="868" spans="1:3" x14ac:dyDescent="0.25">
      <c r="A868" s="585">
        <v>6975</v>
      </c>
      <c r="B868" s="585"/>
      <c r="C868" s="585" t="s">
        <v>1800</v>
      </c>
    </row>
    <row r="869" spans="1:3" x14ac:dyDescent="0.25">
      <c r="A869" s="585">
        <v>6977</v>
      </c>
      <c r="B869" s="585" t="s">
        <v>1801</v>
      </c>
      <c r="C869" s="585" t="s">
        <v>1801</v>
      </c>
    </row>
    <row r="870" spans="1:3" x14ac:dyDescent="0.25">
      <c r="A870" s="585">
        <v>6981</v>
      </c>
      <c r="B870" s="585"/>
      <c r="C870" s="585" t="s">
        <v>1802</v>
      </c>
    </row>
    <row r="871" spans="1:3" x14ac:dyDescent="0.25">
      <c r="A871" s="585">
        <v>7006</v>
      </c>
      <c r="B871" s="585"/>
      <c r="C871" s="585" t="s">
        <v>1803</v>
      </c>
    </row>
    <row r="872" spans="1:3" x14ac:dyDescent="0.25">
      <c r="A872" s="585">
        <v>7007</v>
      </c>
      <c r="B872" s="585"/>
      <c r="C872" s="585" t="s">
        <v>1804</v>
      </c>
    </row>
    <row r="873" spans="1:3" x14ac:dyDescent="0.25">
      <c r="A873" s="585">
        <v>7008</v>
      </c>
      <c r="B873" s="585"/>
      <c r="C873" s="585" t="s">
        <v>1805</v>
      </c>
    </row>
    <row r="874" spans="1:3" x14ac:dyDescent="0.25">
      <c r="A874" s="585">
        <v>7016</v>
      </c>
      <c r="B874" s="585" t="s">
        <v>3334</v>
      </c>
      <c r="C874" s="585" t="s">
        <v>1806</v>
      </c>
    </row>
    <row r="875" spans="1:3" x14ac:dyDescent="0.25">
      <c r="A875" s="585">
        <v>7019</v>
      </c>
      <c r="B875" s="585" t="s">
        <v>3335</v>
      </c>
      <c r="C875" s="585" t="s">
        <v>193</v>
      </c>
    </row>
    <row r="876" spans="1:3" x14ac:dyDescent="0.25">
      <c r="A876" s="585">
        <v>7020</v>
      </c>
      <c r="B876" s="585" t="s">
        <v>1807</v>
      </c>
      <c r="C876" s="585" t="s">
        <v>1807</v>
      </c>
    </row>
    <row r="877" spans="1:3" x14ac:dyDescent="0.25">
      <c r="A877" s="585">
        <v>7070</v>
      </c>
      <c r="B877" s="585"/>
      <c r="C877" s="585" t="s">
        <v>1808</v>
      </c>
    </row>
    <row r="878" spans="1:3" x14ac:dyDescent="0.25">
      <c r="A878" s="585">
        <v>7080</v>
      </c>
      <c r="B878" s="585"/>
      <c r="C878" s="585" t="s">
        <v>1809</v>
      </c>
    </row>
    <row r="879" spans="1:3" x14ac:dyDescent="0.25">
      <c r="A879" s="585">
        <v>7106</v>
      </c>
      <c r="B879" s="585" t="s">
        <v>1349</v>
      </c>
      <c r="C879" s="585" t="s">
        <v>1810</v>
      </c>
    </row>
    <row r="880" spans="1:3" x14ac:dyDescent="0.25">
      <c r="A880" s="585">
        <v>7129</v>
      </c>
      <c r="B880" s="585"/>
      <c r="C880" s="585" t="s">
        <v>1811</v>
      </c>
    </row>
    <row r="881" spans="1:3" x14ac:dyDescent="0.25">
      <c r="A881" s="585">
        <v>7195</v>
      </c>
      <c r="B881" s="585"/>
      <c r="C881" s="585" t="s">
        <v>1812</v>
      </c>
    </row>
    <row r="882" spans="1:3" x14ac:dyDescent="0.25">
      <c r="A882" s="585">
        <v>7197</v>
      </c>
      <c r="B882" s="585"/>
      <c r="C882" s="585" t="s">
        <v>1813</v>
      </c>
    </row>
    <row r="883" spans="1:3" x14ac:dyDescent="0.25">
      <c r="A883" s="585">
        <v>7224</v>
      </c>
      <c r="B883" s="585"/>
      <c r="C883" s="585" t="s">
        <v>1814</v>
      </c>
    </row>
    <row r="884" spans="1:3" x14ac:dyDescent="0.25">
      <c r="A884" s="585">
        <v>7236</v>
      </c>
      <c r="B884" s="585"/>
      <c r="C884" s="585" t="s">
        <v>1815</v>
      </c>
    </row>
    <row r="885" spans="1:3" x14ac:dyDescent="0.25">
      <c r="A885" s="585">
        <v>7267</v>
      </c>
      <c r="B885" s="585"/>
      <c r="C885" s="585" t="s">
        <v>1816</v>
      </c>
    </row>
    <row r="886" spans="1:3" x14ac:dyDescent="0.25">
      <c r="A886" s="585">
        <v>7281</v>
      </c>
      <c r="B886" s="585"/>
      <c r="C886" s="585" t="s">
        <v>1817</v>
      </c>
    </row>
    <row r="887" spans="1:3" x14ac:dyDescent="0.25">
      <c r="A887" s="585">
        <v>7285</v>
      </c>
      <c r="B887" s="585"/>
      <c r="C887" s="585" t="s">
        <v>1818</v>
      </c>
    </row>
    <row r="888" spans="1:3" x14ac:dyDescent="0.25">
      <c r="A888" s="585">
        <v>7306</v>
      </c>
      <c r="B888" s="585"/>
      <c r="C888" s="585" t="s">
        <v>1819</v>
      </c>
    </row>
    <row r="889" spans="1:3" x14ac:dyDescent="0.25">
      <c r="A889" s="585">
        <v>7329</v>
      </c>
      <c r="B889" s="585"/>
      <c r="C889" s="585" t="s">
        <v>1820</v>
      </c>
    </row>
    <row r="890" spans="1:3" x14ac:dyDescent="0.25">
      <c r="A890" s="585">
        <v>7330</v>
      </c>
      <c r="B890" s="585"/>
      <c r="C890" s="585" t="s">
        <v>1821</v>
      </c>
    </row>
    <row r="891" spans="1:3" x14ac:dyDescent="0.25">
      <c r="A891" s="585">
        <v>7331</v>
      </c>
      <c r="B891" s="585"/>
      <c r="C891" s="585" t="s">
        <v>1822</v>
      </c>
    </row>
    <row r="892" spans="1:3" x14ac:dyDescent="0.25">
      <c r="A892" s="585">
        <v>7334</v>
      </c>
      <c r="B892" s="585"/>
      <c r="C892" s="585" t="s">
        <v>1823</v>
      </c>
    </row>
    <row r="893" spans="1:3" x14ac:dyDescent="0.25">
      <c r="A893" s="585">
        <v>7338</v>
      </c>
      <c r="B893" s="585"/>
      <c r="C893" s="585" t="s">
        <v>1824</v>
      </c>
    </row>
    <row r="894" spans="1:3" x14ac:dyDescent="0.25">
      <c r="A894" s="585">
        <v>7342</v>
      </c>
      <c r="B894" s="585"/>
      <c r="C894" s="585" t="s">
        <v>1825</v>
      </c>
    </row>
    <row r="895" spans="1:3" x14ac:dyDescent="0.25">
      <c r="A895" s="585">
        <v>7343</v>
      </c>
      <c r="B895" s="585"/>
      <c r="C895" s="585" t="s">
        <v>1826</v>
      </c>
    </row>
    <row r="896" spans="1:3" x14ac:dyDescent="0.25">
      <c r="A896" s="585">
        <v>7345</v>
      </c>
      <c r="B896" s="585"/>
      <c r="C896" s="585" t="s">
        <v>1827</v>
      </c>
    </row>
    <row r="897" spans="1:3" x14ac:dyDescent="0.25">
      <c r="A897" s="585">
        <v>7348</v>
      </c>
      <c r="B897" s="585"/>
      <c r="C897" s="585" t="s">
        <v>1828</v>
      </c>
    </row>
    <row r="898" spans="1:3" x14ac:dyDescent="0.25">
      <c r="A898" s="585">
        <v>7360</v>
      </c>
      <c r="B898" s="585"/>
      <c r="C898" s="585" t="s">
        <v>1829</v>
      </c>
    </row>
    <row r="899" spans="1:3" x14ac:dyDescent="0.25">
      <c r="A899" s="585">
        <v>7361</v>
      </c>
      <c r="B899" s="585"/>
      <c r="C899" s="585" t="s">
        <v>1830</v>
      </c>
    </row>
    <row r="900" spans="1:3" x14ac:dyDescent="0.25">
      <c r="A900" s="585">
        <v>7362</v>
      </c>
      <c r="B900" s="585"/>
      <c r="C900" s="585" t="s">
        <v>1831</v>
      </c>
    </row>
    <row r="901" spans="1:3" x14ac:dyDescent="0.25">
      <c r="A901" s="585">
        <v>7364</v>
      </c>
      <c r="B901" s="585"/>
      <c r="C901" s="585" t="s">
        <v>1832</v>
      </c>
    </row>
    <row r="902" spans="1:3" x14ac:dyDescent="0.25">
      <c r="A902" s="585">
        <v>7365</v>
      </c>
      <c r="B902" s="585"/>
      <c r="C902" s="585" t="s">
        <v>1833</v>
      </c>
    </row>
    <row r="903" spans="1:3" x14ac:dyDescent="0.25">
      <c r="A903" s="585">
        <v>7366</v>
      </c>
      <c r="B903" s="585"/>
      <c r="C903" s="585" t="s">
        <v>1834</v>
      </c>
    </row>
    <row r="904" spans="1:3" x14ac:dyDescent="0.25">
      <c r="A904" s="585">
        <v>7367</v>
      </c>
      <c r="B904" s="585"/>
      <c r="C904" s="585" t="s">
        <v>1835</v>
      </c>
    </row>
    <row r="905" spans="1:3" x14ac:dyDescent="0.25">
      <c r="A905" s="585">
        <v>7371</v>
      </c>
      <c r="B905" s="585" t="s">
        <v>3336</v>
      </c>
      <c r="C905" s="585" t="s">
        <v>1836</v>
      </c>
    </row>
    <row r="906" spans="1:3" x14ac:dyDescent="0.25">
      <c r="A906" s="585">
        <v>7376</v>
      </c>
      <c r="B906" s="585"/>
      <c r="C906" s="585" t="s">
        <v>1837</v>
      </c>
    </row>
    <row r="907" spans="1:3" x14ac:dyDescent="0.25">
      <c r="A907" s="585">
        <v>7377</v>
      </c>
      <c r="B907" s="585"/>
      <c r="C907" s="585" t="s">
        <v>1838</v>
      </c>
    </row>
    <row r="908" spans="1:3" x14ac:dyDescent="0.25">
      <c r="A908" s="585">
        <v>7378</v>
      </c>
      <c r="B908" s="585"/>
      <c r="C908" s="585" t="s">
        <v>1839</v>
      </c>
    </row>
    <row r="909" spans="1:3" x14ac:dyDescent="0.25">
      <c r="A909" s="585">
        <v>7379</v>
      </c>
      <c r="B909" s="585"/>
      <c r="C909" s="585" t="s">
        <v>1840</v>
      </c>
    </row>
    <row r="910" spans="1:3" x14ac:dyDescent="0.25">
      <c r="A910" s="585">
        <v>7380</v>
      </c>
      <c r="B910" s="585"/>
      <c r="C910" s="585" t="s">
        <v>1841</v>
      </c>
    </row>
    <row r="911" spans="1:3" x14ac:dyDescent="0.25">
      <c r="A911" s="585">
        <v>7381</v>
      </c>
      <c r="B911" s="585"/>
      <c r="C911" s="585" t="s">
        <v>1842</v>
      </c>
    </row>
    <row r="912" spans="1:3" x14ac:dyDescent="0.25">
      <c r="A912" s="585">
        <v>7382</v>
      </c>
      <c r="B912" s="585"/>
      <c r="C912" s="585" t="s">
        <v>1843</v>
      </c>
    </row>
    <row r="913" spans="1:3" x14ac:dyDescent="0.25">
      <c r="A913" s="585">
        <v>7383</v>
      </c>
      <c r="B913" s="585"/>
      <c r="C913" s="585" t="s">
        <v>1844</v>
      </c>
    </row>
    <row r="914" spans="1:3" x14ac:dyDescent="0.25">
      <c r="A914" s="585">
        <v>7384</v>
      </c>
      <c r="B914" s="585"/>
      <c r="C914" s="585" t="s">
        <v>1845</v>
      </c>
    </row>
    <row r="915" spans="1:3" x14ac:dyDescent="0.25">
      <c r="A915" s="585">
        <v>7385</v>
      </c>
      <c r="B915" s="585"/>
      <c r="C915" s="585" t="s">
        <v>1846</v>
      </c>
    </row>
    <row r="916" spans="1:3" x14ac:dyDescent="0.25">
      <c r="A916" s="585">
        <v>7386</v>
      </c>
      <c r="B916" s="585"/>
      <c r="C916" s="585" t="s">
        <v>1847</v>
      </c>
    </row>
    <row r="917" spans="1:3" x14ac:dyDescent="0.25">
      <c r="A917" s="585">
        <v>7390</v>
      </c>
      <c r="B917" s="585"/>
      <c r="C917" s="585" t="s">
        <v>1848</v>
      </c>
    </row>
    <row r="918" spans="1:3" x14ac:dyDescent="0.25">
      <c r="A918" s="585">
        <v>7394</v>
      </c>
      <c r="B918" s="585"/>
      <c r="C918" s="585" t="s">
        <v>1849</v>
      </c>
    </row>
    <row r="919" spans="1:3" x14ac:dyDescent="0.25">
      <c r="A919" s="585">
        <v>7395</v>
      </c>
      <c r="B919" s="585"/>
      <c r="C919" s="585" t="s">
        <v>1850</v>
      </c>
    </row>
    <row r="920" spans="1:3" x14ac:dyDescent="0.25">
      <c r="A920" s="585">
        <v>7407</v>
      </c>
      <c r="B920" s="585"/>
      <c r="C920" s="585" t="s">
        <v>1851</v>
      </c>
    </row>
    <row r="921" spans="1:3" x14ac:dyDescent="0.25">
      <c r="A921" s="585">
        <v>7415</v>
      </c>
      <c r="B921" s="585"/>
      <c r="C921" s="585" t="s">
        <v>1852</v>
      </c>
    </row>
    <row r="922" spans="1:3" x14ac:dyDescent="0.25">
      <c r="A922" s="585">
        <v>7417</v>
      </c>
      <c r="B922" s="585"/>
      <c r="C922" s="585" t="s">
        <v>1853</v>
      </c>
    </row>
    <row r="923" spans="1:3" x14ac:dyDescent="0.25">
      <c r="A923" s="585">
        <v>7420</v>
      </c>
      <c r="B923" s="585"/>
      <c r="C923" s="585" t="s">
        <v>1854</v>
      </c>
    </row>
    <row r="924" spans="1:3" x14ac:dyDescent="0.25">
      <c r="A924" s="585">
        <v>7421</v>
      </c>
      <c r="B924" s="585"/>
      <c r="C924" s="585" t="s">
        <v>1855</v>
      </c>
    </row>
    <row r="925" spans="1:3" x14ac:dyDescent="0.25">
      <c r="A925" s="585">
        <v>7422</v>
      </c>
      <c r="B925" s="585"/>
      <c r="C925" s="585" t="s">
        <v>1856</v>
      </c>
    </row>
    <row r="926" spans="1:3" x14ac:dyDescent="0.25">
      <c r="A926" s="585">
        <v>7423</v>
      </c>
      <c r="B926" s="585"/>
      <c r="C926" s="585" t="s">
        <v>1857</v>
      </c>
    </row>
    <row r="927" spans="1:3" x14ac:dyDescent="0.25">
      <c r="A927" s="585">
        <v>7425</v>
      </c>
      <c r="B927" s="585"/>
      <c r="C927" s="585" t="s">
        <v>1858</v>
      </c>
    </row>
    <row r="928" spans="1:3" x14ac:dyDescent="0.25">
      <c r="A928" s="585">
        <v>7429</v>
      </c>
      <c r="B928" s="585" t="s">
        <v>1859</v>
      </c>
      <c r="C928" s="585" t="s">
        <v>1859</v>
      </c>
    </row>
    <row r="929" spans="1:3" x14ac:dyDescent="0.25">
      <c r="A929" s="585">
        <v>7474</v>
      </c>
      <c r="B929" s="585"/>
      <c r="C929" s="585" t="s">
        <v>1860</v>
      </c>
    </row>
    <row r="930" spans="1:3" x14ac:dyDescent="0.25">
      <c r="A930" s="585">
        <v>7488</v>
      </c>
      <c r="B930" s="585"/>
      <c r="C930" s="585" t="s">
        <v>1861</v>
      </c>
    </row>
    <row r="931" spans="1:3" x14ac:dyDescent="0.25">
      <c r="A931" s="585">
        <v>7492</v>
      </c>
      <c r="B931" s="585"/>
      <c r="C931" s="585" t="s">
        <v>1862</v>
      </c>
    </row>
    <row r="932" spans="1:3" x14ac:dyDescent="0.25">
      <c r="A932" s="585">
        <v>7549</v>
      </c>
      <c r="B932" s="585"/>
      <c r="C932" s="585" t="s">
        <v>1863</v>
      </c>
    </row>
    <row r="933" spans="1:3" x14ac:dyDescent="0.25">
      <c r="A933" s="585">
        <v>7588</v>
      </c>
      <c r="B933" s="585"/>
      <c r="C933" s="585" t="s">
        <v>1864</v>
      </c>
    </row>
    <row r="934" spans="1:3" x14ac:dyDescent="0.25">
      <c r="A934" s="585">
        <v>7592</v>
      </c>
      <c r="B934" s="585"/>
      <c r="C934" s="585" t="s">
        <v>1865</v>
      </c>
    </row>
    <row r="935" spans="1:3" x14ac:dyDescent="0.25">
      <c r="A935" s="585">
        <v>7616</v>
      </c>
      <c r="B935" s="585"/>
      <c r="C935" s="585" t="s">
        <v>1866</v>
      </c>
    </row>
    <row r="936" spans="1:3" x14ac:dyDescent="0.25">
      <c r="A936" s="585">
        <v>7689</v>
      </c>
      <c r="B936" s="585"/>
      <c r="C936" s="585" t="s">
        <v>1867</v>
      </c>
    </row>
    <row r="937" spans="1:3" x14ac:dyDescent="0.25">
      <c r="A937" s="585">
        <v>7692</v>
      </c>
      <c r="B937" s="585"/>
      <c r="C937" s="585" t="s">
        <v>1868</v>
      </c>
    </row>
    <row r="938" spans="1:3" x14ac:dyDescent="0.25">
      <c r="A938" s="585">
        <v>7732</v>
      </c>
      <c r="B938" s="585"/>
      <c r="C938" s="585" t="s">
        <v>1869</v>
      </c>
    </row>
    <row r="939" spans="1:3" x14ac:dyDescent="0.25">
      <c r="A939" s="585">
        <v>7751</v>
      </c>
      <c r="B939" s="585"/>
      <c r="C939" s="585" t="s">
        <v>1870</v>
      </c>
    </row>
    <row r="940" spans="1:3" x14ac:dyDescent="0.25">
      <c r="A940" s="585">
        <v>7752</v>
      </c>
      <c r="B940" s="585"/>
      <c r="C940" s="585" t="s">
        <v>1871</v>
      </c>
    </row>
    <row r="941" spans="1:3" x14ac:dyDescent="0.25">
      <c r="A941" s="585">
        <v>7753</v>
      </c>
      <c r="B941" s="585"/>
      <c r="C941" s="585" t="s">
        <v>1872</v>
      </c>
    </row>
    <row r="942" spans="1:3" x14ac:dyDescent="0.25">
      <c r="A942" s="585">
        <v>7779</v>
      </c>
      <c r="B942" s="585"/>
      <c r="C942" s="585" t="s">
        <v>1873</v>
      </c>
    </row>
    <row r="943" spans="1:3" x14ac:dyDescent="0.25">
      <c r="A943" s="585">
        <v>7878</v>
      </c>
      <c r="B943" s="585"/>
      <c r="C943" s="585" t="s">
        <v>1874</v>
      </c>
    </row>
    <row r="944" spans="1:3" x14ac:dyDescent="0.25">
      <c r="A944" s="585">
        <v>7894</v>
      </c>
      <c r="B944" s="585"/>
      <c r="C944" s="585" t="s">
        <v>1875</v>
      </c>
    </row>
    <row r="945" spans="1:3" x14ac:dyDescent="0.25">
      <c r="A945" s="585">
        <v>7919</v>
      </c>
      <c r="B945" s="585" t="s">
        <v>1876</v>
      </c>
      <c r="C945" s="585" t="s">
        <v>1877</v>
      </c>
    </row>
    <row r="946" spans="1:3" x14ac:dyDescent="0.25">
      <c r="A946" s="585">
        <v>7920</v>
      </c>
      <c r="B946" s="585" t="s">
        <v>1878</v>
      </c>
      <c r="C946" s="585" t="s">
        <v>1879</v>
      </c>
    </row>
    <row r="947" spans="1:3" x14ac:dyDescent="0.25">
      <c r="A947" s="585">
        <v>7921</v>
      </c>
      <c r="B947" s="585" t="s">
        <v>1880</v>
      </c>
      <c r="C947" s="585" t="s">
        <v>1881</v>
      </c>
    </row>
    <row r="948" spans="1:3" x14ac:dyDescent="0.25">
      <c r="A948" s="585">
        <v>7922</v>
      </c>
      <c r="B948" s="585" t="s">
        <v>1882</v>
      </c>
      <c r="C948" s="585" t="s">
        <v>1883</v>
      </c>
    </row>
    <row r="949" spans="1:3" x14ac:dyDescent="0.25">
      <c r="A949" s="585">
        <v>7923</v>
      </c>
      <c r="B949" s="585" t="s">
        <v>1884</v>
      </c>
      <c r="C949" s="585" t="s">
        <v>1885</v>
      </c>
    </row>
    <row r="950" spans="1:3" x14ac:dyDescent="0.25">
      <c r="A950" s="585">
        <v>7924</v>
      </c>
      <c r="B950" s="585" t="s">
        <v>1886</v>
      </c>
      <c r="C950" s="585" t="s">
        <v>1887</v>
      </c>
    </row>
    <row r="951" spans="1:3" x14ac:dyDescent="0.25">
      <c r="A951" s="585">
        <v>7925</v>
      </c>
      <c r="B951" s="585" t="s">
        <v>1888</v>
      </c>
      <c r="C951" s="585" t="s">
        <v>1889</v>
      </c>
    </row>
    <row r="952" spans="1:3" x14ac:dyDescent="0.25">
      <c r="A952" s="585">
        <v>7944</v>
      </c>
      <c r="B952" s="585" t="s">
        <v>1890</v>
      </c>
      <c r="C952" s="585" t="s">
        <v>1891</v>
      </c>
    </row>
    <row r="953" spans="1:3" x14ac:dyDescent="0.25">
      <c r="A953" s="585">
        <v>7947</v>
      </c>
      <c r="B953" s="585" t="s">
        <v>3337</v>
      </c>
      <c r="C953" s="585" t="s">
        <v>1892</v>
      </c>
    </row>
    <row r="954" spans="1:3" x14ac:dyDescent="0.25">
      <c r="A954" s="585">
        <v>7959</v>
      </c>
      <c r="B954" s="585" t="s">
        <v>3338</v>
      </c>
      <c r="C954" s="585" t="s">
        <v>1893</v>
      </c>
    </row>
    <row r="955" spans="1:3" x14ac:dyDescent="0.25">
      <c r="A955" s="585">
        <v>7960</v>
      </c>
      <c r="B955" s="585" t="s">
        <v>1894</v>
      </c>
      <c r="C955" s="585" t="s">
        <v>1895</v>
      </c>
    </row>
    <row r="956" spans="1:3" x14ac:dyDescent="0.25">
      <c r="A956" s="585">
        <v>7961</v>
      </c>
      <c r="B956" s="585" t="s">
        <v>1896</v>
      </c>
      <c r="C956" s="585" t="s">
        <v>1897</v>
      </c>
    </row>
    <row r="957" spans="1:3" x14ac:dyDescent="0.25">
      <c r="A957" s="585">
        <v>7962</v>
      </c>
      <c r="B957" s="585" t="s">
        <v>1898</v>
      </c>
      <c r="C957" s="585" t="s">
        <v>1899</v>
      </c>
    </row>
    <row r="958" spans="1:3" x14ac:dyDescent="0.25">
      <c r="A958" s="585">
        <v>7972</v>
      </c>
      <c r="B958" s="585" t="s">
        <v>1900</v>
      </c>
      <c r="C958" s="585" t="s">
        <v>1901</v>
      </c>
    </row>
    <row r="959" spans="1:3" x14ac:dyDescent="0.25">
      <c r="A959" s="585">
        <v>7973</v>
      </c>
      <c r="B959" s="585" t="s">
        <v>1902</v>
      </c>
      <c r="C959" s="585" t="s">
        <v>1903</v>
      </c>
    </row>
    <row r="960" spans="1:3" x14ac:dyDescent="0.25">
      <c r="A960" s="585">
        <v>7974</v>
      </c>
      <c r="B960" s="585" t="s">
        <v>1904</v>
      </c>
      <c r="C960" s="585" t="s">
        <v>1905</v>
      </c>
    </row>
    <row r="961" spans="1:3" x14ac:dyDescent="0.25">
      <c r="A961" s="585">
        <v>7977</v>
      </c>
      <c r="B961" s="585" t="s">
        <v>1906</v>
      </c>
      <c r="C961" s="585" t="s">
        <v>1907</v>
      </c>
    </row>
    <row r="962" spans="1:3" x14ac:dyDescent="0.25">
      <c r="A962" s="585">
        <v>7978</v>
      </c>
      <c r="B962" s="585" t="s">
        <v>1908</v>
      </c>
      <c r="C962" s="585" t="s">
        <v>1909</v>
      </c>
    </row>
    <row r="963" spans="1:3" x14ac:dyDescent="0.25">
      <c r="A963" s="585">
        <v>7979</v>
      </c>
      <c r="B963" s="585" t="s">
        <v>1910</v>
      </c>
      <c r="C963" s="585" t="s">
        <v>1911</v>
      </c>
    </row>
    <row r="964" spans="1:3" x14ac:dyDescent="0.25">
      <c r="A964" s="585">
        <v>8047</v>
      </c>
      <c r="B964" s="585" t="s">
        <v>1912</v>
      </c>
      <c r="C964" s="585" t="s">
        <v>1913</v>
      </c>
    </row>
    <row r="965" spans="1:3" x14ac:dyDescent="0.25">
      <c r="A965" s="585">
        <v>8048</v>
      </c>
      <c r="B965" s="585" t="s">
        <v>1914</v>
      </c>
      <c r="C965" s="585" t="s">
        <v>1915</v>
      </c>
    </row>
    <row r="966" spans="1:3" x14ac:dyDescent="0.25">
      <c r="A966" s="585">
        <v>8049</v>
      </c>
      <c r="B966" s="585" t="s">
        <v>1916</v>
      </c>
      <c r="C966" s="585" t="s">
        <v>1917</v>
      </c>
    </row>
    <row r="967" spans="1:3" x14ac:dyDescent="0.25">
      <c r="A967" s="585">
        <v>8050</v>
      </c>
      <c r="B967" s="585" t="s">
        <v>3339</v>
      </c>
      <c r="C967" s="585" t="s">
        <v>1918</v>
      </c>
    </row>
    <row r="968" spans="1:3" x14ac:dyDescent="0.25">
      <c r="A968" s="585">
        <v>8051</v>
      </c>
      <c r="B968" s="585" t="s">
        <v>1919</v>
      </c>
      <c r="C968" s="585" t="s">
        <v>1920</v>
      </c>
    </row>
    <row r="969" spans="1:3" x14ac:dyDescent="0.25">
      <c r="A969" s="585">
        <v>8057</v>
      </c>
      <c r="B969" s="585" t="s">
        <v>1921</v>
      </c>
      <c r="C969" s="585" t="s">
        <v>1922</v>
      </c>
    </row>
    <row r="970" spans="1:3" x14ac:dyDescent="0.25">
      <c r="A970" s="585">
        <v>8058</v>
      </c>
      <c r="B970" s="585" t="s">
        <v>1923</v>
      </c>
      <c r="C970" s="585" t="s">
        <v>1924</v>
      </c>
    </row>
    <row r="971" spans="1:3" x14ac:dyDescent="0.25">
      <c r="A971" s="585">
        <v>8220</v>
      </c>
      <c r="B971" s="585" t="s">
        <v>1925</v>
      </c>
      <c r="C971" s="585" t="s">
        <v>1926</v>
      </c>
    </row>
    <row r="972" spans="1:3" x14ac:dyDescent="0.25">
      <c r="A972" s="585">
        <v>8221</v>
      </c>
      <c r="B972" s="585" t="s">
        <v>1927</v>
      </c>
      <c r="C972" s="585" t="s">
        <v>1928</v>
      </c>
    </row>
    <row r="973" spans="1:3" x14ac:dyDescent="0.25">
      <c r="A973" s="585">
        <v>8231</v>
      </c>
      <c r="B973" s="585" t="s">
        <v>1929</v>
      </c>
      <c r="C973" s="585" t="s">
        <v>1930</v>
      </c>
    </row>
    <row r="974" spans="1:3" x14ac:dyDescent="0.25">
      <c r="A974" s="585">
        <v>8261</v>
      </c>
      <c r="B974" s="585" t="s">
        <v>1931</v>
      </c>
      <c r="C974" s="585" t="s">
        <v>1932</v>
      </c>
    </row>
    <row r="975" spans="1:3" x14ac:dyDescent="0.25">
      <c r="A975" s="585">
        <v>8262</v>
      </c>
      <c r="B975" s="585" t="s">
        <v>1933</v>
      </c>
      <c r="C975" s="585" t="s">
        <v>1934</v>
      </c>
    </row>
    <row r="976" spans="1:3" x14ac:dyDescent="0.25">
      <c r="A976" s="585">
        <v>8263</v>
      </c>
      <c r="B976" s="585" t="s">
        <v>1935</v>
      </c>
      <c r="C976" s="585" t="s">
        <v>1936</v>
      </c>
    </row>
    <row r="977" spans="1:3" x14ac:dyDescent="0.25">
      <c r="A977" s="585">
        <v>8575</v>
      </c>
      <c r="B977" s="585" t="s">
        <v>1937</v>
      </c>
      <c r="C977" s="585" t="s">
        <v>1938</v>
      </c>
    </row>
    <row r="978" spans="1:3" x14ac:dyDescent="0.25">
      <c r="A978" s="585">
        <v>8716</v>
      </c>
      <c r="B978" s="585" t="s">
        <v>1939</v>
      </c>
      <c r="C978" s="585" t="s">
        <v>1940</v>
      </c>
    </row>
    <row r="979" spans="1:3" x14ac:dyDescent="0.25">
      <c r="A979" s="585">
        <v>8736</v>
      </c>
      <c r="B979" s="585" t="s">
        <v>1941</v>
      </c>
      <c r="C979" s="585" t="s">
        <v>1942</v>
      </c>
    </row>
    <row r="980" spans="1:3" x14ac:dyDescent="0.25">
      <c r="A980" s="585">
        <v>8737</v>
      </c>
      <c r="B980" s="585" t="s">
        <v>1943</v>
      </c>
      <c r="C980" s="585" t="s">
        <v>1944</v>
      </c>
    </row>
    <row r="981" spans="1:3" x14ac:dyDescent="0.25">
      <c r="A981" s="585">
        <v>8755</v>
      </c>
      <c r="B981" s="585" t="s">
        <v>1945</v>
      </c>
      <c r="C981" s="585" t="s">
        <v>1946</v>
      </c>
    </row>
    <row r="982" spans="1:3" x14ac:dyDescent="0.25">
      <c r="A982" s="585">
        <v>8756</v>
      </c>
      <c r="B982" s="585" t="s">
        <v>1947</v>
      </c>
      <c r="C982" s="585" t="s">
        <v>1948</v>
      </c>
    </row>
    <row r="983" spans="1:3" x14ac:dyDescent="0.25">
      <c r="A983" s="585">
        <v>8786</v>
      </c>
      <c r="B983" s="585" t="s">
        <v>1949</v>
      </c>
      <c r="C983" s="585" t="s">
        <v>1950</v>
      </c>
    </row>
    <row r="984" spans="1:3" x14ac:dyDescent="0.25">
      <c r="A984" s="585">
        <v>8811</v>
      </c>
      <c r="B984" s="585" t="s">
        <v>3340</v>
      </c>
      <c r="C984" s="585" t="s">
        <v>1951</v>
      </c>
    </row>
    <row r="985" spans="1:3" x14ac:dyDescent="0.25">
      <c r="A985" s="585">
        <v>9430</v>
      </c>
      <c r="B985" s="585" t="s">
        <v>1952</v>
      </c>
      <c r="C985" s="585" t="s">
        <v>1953</v>
      </c>
    </row>
    <row r="986" spans="1:3" x14ac:dyDescent="0.25">
      <c r="A986" s="585">
        <v>9437</v>
      </c>
      <c r="B986" s="585" t="s">
        <v>1954</v>
      </c>
      <c r="C986" s="585" t="s">
        <v>1955</v>
      </c>
    </row>
    <row r="987" spans="1:3" x14ac:dyDescent="0.25">
      <c r="A987" s="585">
        <v>26725</v>
      </c>
      <c r="B987" s="585" t="s">
        <v>1956</v>
      </c>
      <c r="C987" s="585" t="s">
        <v>1957</v>
      </c>
    </row>
    <row r="988" spans="1:3" x14ac:dyDescent="0.25">
      <c r="A988" s="585">
        <v>26730</v>
      </c>
      <c r="B988" s="585" t="s">
        <v>1958</v>
      </c>
      <c r="C988" s="585" t="s">
        <v>1959</v>
      </c>
    </row>
    <row r="989" spans="1:3" x14ac:dyDescent="0.25">
      <c r="A989" s="585">
        <v>26732</v>
      </c>
      <c r="B989" s="585" t="s">
        <v>1960</v>
      </c>
      <c r="C989" s="585" t="s">
        <v>1960</v>
      </c>
    </row>
    <row r="990" spans="1:3" x14ac:dyDescent="0.25">
      <c r="A990" s="585">
        <v>26798</v>
      </c>
      <c r="B990" s="585" t="s">
        <v>1961</v>
      </c>
      <c r="C990" s="585" t="s">
        <v>1962</v>
      </c>
    </row>
    <row r="991" spans="1:3" x14ac:dyDescent="0.25">
      <c r="A991" s="585">
        <v>26829</v>
      </c>
      <c r="B991" s="585" t="s">
        <v>1963</v>
      </c>
      <c r="C991" s="585" t="s">
        <v>1964</v>
      </c>
    </row>
    <row r="992" spans="1:3" x14ac:dyDescent="0.25">
      <c r="A992" s="585">
        <v>26832</v>
      </c>
      <c r="B992" s="585" t="s">
        <v>1965</v>
      </c>
      <c r="C992" s="585" t="s">
        <v>1965</v>
      </c>
    </row>
    <row r="993" spans="1:3" x14ac:dyDescent="0.25">
      <c r="A993" s="585">
        <v>26834</v>
      </c>
      <c r="B993" s="585" t="s">
        <v>1965</v>
      </c>
      <c r="C993" s="585" t="s">
        <v>1965</v>
      </c>
    </row>
    <row r="994" spans="1:3" x14ac:dyDescent="0.25">
      <c r="A994" s="585">
        <v>26842</v>
      </c>
      <c r="B994" s="585" t="s">
        <v>1966</v>
      </c>
      <c r="C994" s="585" t="s">
        <v>1966</v>
      </c>
    </row>
    <row r="995" spans="1:3" x14ac:dyDescent="0.25">
      <c r="A995" s="585">
        <v>26844</v>
      </c>
      <c r="B995" s="585" t="s">
        <v>1967</v>
      </c>
      <c r="C995" s="585" t="s">
        <v>1967</v>
      </c>
    </row>
    <row r="996" spans="1:3" x14ac:dyDescent="0.25">
      <c r="A996" s="585">
        <v>26847</v>
      </c>
      <c r="B996" s="585" t="s">
        <v>1968</v>
      </c>
      <c r="C996" s="585" t="s">
        <v>1969</v>
      </c>
    </row>
    <row r="997" spans="1:3" x14ac:dyDescent="0.25">
      <c r="A997" s="585">
        <v>26849</v>
      </c>
      <c r="B997" s="585" t="s">
        <v>1970</v>
      </c>
      <c r="C997" s="585" t="s">
        <v>1969</v>
      </c>
    </row>
    <row r="998" spans="1:3" x14ac:dyDescent="0.25">
      <c r="A998" s="585">
        <v>26869</v>
      </c>
      <c r="B998" s="585" t="s">
        <v>1971</v>
      </c>
      <c r="C998" s="585" t="s">
        <v>1972</v>
      </c>
    </row>
    <row r="999" spans="1:3" x14ac:dyDescent="0.25">
      <c r="A999" s="585">
        <v>26874</v>
      </c>
      <c r="B999" s="585" t="s">
        <v>1973</v>
      </c>
      <c r="C999" s="585" t="s">
        <v>1974</v>
      </c>
    </row>
    <row r="1000" spans="1:3" x14ac:dyDescent="0.25">
      <c r="A1000" s="585">
        <v>27003</v>
      </c>
      <c r="B1000" s="585" t="s">
        <v>1975</v>
      </c>
      <c r="C1000" s="585" t="s">
        <v>1976</v>
      </c>
    </row>
    <row r="1001" spans="1:3" x14ac:dyDescent="0.25">
      <c r="A1001" s="585">
        <v>27013</v>
      </c>
      <c r="B1001" s="585" t="s">
        <v>1977</v>
      </c>
      <c r="C1001" s="585" t="s">
        <v>1977</v>
      </c>
    </row>
    <row r="1002" spans="1:3" x14ac:dyDescent="0.25">
      <c r="A1002" s="585">
        <v>27034</v>
      </c>
      <c r="B1002" s="585" t="s">
        <v>1978</v>
      </c>
      <c r="C1002" s="585" t="s">
        <v>1979</v>
      </c>
    </row>
    <row r="1003" spans="1:3" x14ac:dyDescent="0.25">
      <c r="A1003" s="585">
        <v>27042</v>
      </c>
      <c r="B1003" s="585" t="s">
        <v>3469</v>
      </c>
      <c r="C1003" s="585" t="s">
        <v>3469</v>
      </c>
    </row>
    <row r="1004" spans="1:3" x14ac:dyDescent="0.25">
      <c r="A1004" s="585">
        <v>27046</v>
      </c>
      <c r="B1004" s="585" t="s">
        <v>1980</v>
      </c>
      <c r="C1004" s="585" t="s">
        <v>1117</v>
      </c>
    </row>
    <row r="1005" spans="1:3" x14ac:dyDescent="0.25">
      <c r="A1005" s="585">
        <v>27052</v>
      </c>
      <c r="B1005" s="585" t="s">
        <v>1981</v>
      </c>
      <c r="C1005" s="585" t="s">
        <v>1982</v>
      </c>
    </row>
    <row r="1006" spans="1:3" x14ac:dyDescent="0.25">
      <c r="A1006" s="585">
        <v>27055</v>
      </c>
      <c r="B1006" s="585" t="s">
        <v>1983</v>
      </c>
      <c r="C1006" s="585" t="s">
        <v>1984</v>
      </c>
    </row>
    <row r="1007" spans="1:3" x14ac:dyDescent="0.25">
      <c r="A1007" s="585">
        <v>27059</v>
      </c>
      <c r="B1007" s="585" t="s">
        <v>1985</v>
      </c>
      <c r="C1007" s="585" t="s">
        <v>1986</v>
      </c>
    </row>
    <row r="1008" spans="1:3" x14ac:dyDescent="0.25">
      <c r="A1008" s="585">
        <v>27061</v>
      </c>
      <c r="B1008" s="585" t="s">
        <v>1987</v>
      </c>
      <c r="C1008" s="585" t="s">
        <v>1987</v>
      </c>
    </row>
    <row r="1009" spans="1:3" x14ac:dyDescent="0.25">
      <c r="A1009" s="585">
        <v>27065</v>
      </c>
      <c r="B1009" s="585" t="s">
        <v>1988</v>
      </c>
      <c r="C1009" s="585" t="s">
        <v>1988</v>
      </c>
    </row>
    <row r="1010" spans="1:3" x14ac:dyDescent="0.25">
      <c r="A1010" s="585">
        <v>27066</v>
      </c>
      <c r="B1010" s="585" t="s">
        <v>1989</v>
      </c>
      <c r="C1010" s="585" t="s">
        <v>1117</v>
      </c>
    </row>
    <row r="1011" spans="1:3" x14ac:dyDescent="0.25">
      <c r="A1011" s="585">
        <v>27075</v>
      </c>
      <c r="B1011" s="585" t="s">
        <v>1990</v>
      </c>
      <c r="C1011" s="585" t="s">
        <v>1991</v>
      </c>
    </row>
    <row r="1012" spans="1:3" x14ac:dyDescent="0.25">
      <c r="A1012" s="585">
        <v>27079</v>
      </c>
      <c r="B1012" s="585" t="s">
        <v>1992</v>
      </c>
      <c r="C1012" s="585" t="s">
        <v>1993</v>
      </c>
    </row>
    <row r="1013" spans="1:3" x14ac:dyDescent="0.25">
      <c r="A1013" s="585">
        <v>27092</v>
      </c>
      <c r="B1013" s="585" t="s">
        <v>1994</v>
      </c>
      <c r="C1013" s="585" t="s">
        <v>1995</v>
      </c>
    </row>
    <row r="1014" spans="1:3" x14ac:dyDescent="0.25">
      <c r="A1014" s="585">
        <v>27096</v>
      </c>
      <c r="B1014" s="585" t="s">
        <v>1996</v>
      </c>
      <c r="C1014" s="585" t="s">
        <v>1996</v>
      </c>
    </row>
    <row r="1015" spans="1:3" x14ac:dyDescent="0.25">
      <c r="A1015" s="585">
        <v>27100</v>
      </c>
      <c r="B1015" s="585" t="s">
        <v>1997</v>
      </c>
      <c r="C1015" s="585" t="s">
        <v>1998</v>
      </c>
    </row>
    <row r="1016" spans="1:3" x14ac:dyDescent="0.25">
      <c r="A1016" s="585">
        <v>27107</v>
      </c>
      <c r="B1016" s="585" t="s">
        <v>1999</v>
      </c>
      <c r="C1016" s="585" t="s">
        <v>1999</v>
      </c>
    </row>
    <row r="1017" spans="1:3" x14ac:dyDescent="0.25">
      <c r="A1017" s="585">
        <v>27108</v>
      </c>
      <c r="B1017" s="585" t="s">
        <v>2000</v>
      </c>
      <c r="C1017" s="585" t="s">
        <v>2001</v>
      </c>
    </row>
    <row r="1018" spans="1:3" x14ac:dyDescent="0.25">
      <c r="A1018" s="585">
        <v>27109</v>
      </c>
      <c r="B1018" s="585" t="s">
        <v>2002</v>
      </c>
      <c r="C1018" s="585" t="s">
        <v>2002</v>
      </c>
    </row>
    <row r="1019" spans="1:3" x14ac:dyDescent="0.25">
      <c r="A1019" s="585">
        <v>27110</v>
      </c>
      <c r="B1019" s="585" t="s">
        <v>2003</v>
      </c>
      <c r="C1019" s="585" t="s">
        <v>2003</v>
      </c>
    </row>
    <row r="1020" spans="1:3" x14ac:dyDescent="0.25">
      <c r="A1020" s="585">
        <v>27111</v>
      </c>
      <c r="B1020" s="585" t="s">
        <v>2004</v>
      </c>
      <c r="C1020" s="585" t="s">
        <v>2004</v>
      </c>
    </row>
    <row r="1021" spans="1:3" x14ac:dyDescent="0.25">
      <c r="A1021" s="585">
        <v>27112</v>
      </c>
      <c r="B1021" s="585" t="s">
        <v>2005</v>
      </c>
      <c r="C1021" s="585" t="s">
        <v>2005</v>
      </c>
    </row>
    <row r="1022" spans="1:3" x14ac:dyDescent="0.25">
      <c r="A1022" s="585">
        <v>27118</v>
      </c>
      <c r="B1022" s="585" t="s">
        <v>2006</v>
      </c>
      <c r="C1022" s="585" t="s">
        <v>1117</v>
      </c>
    </row>
    <row r="1023" spans="1:3" x14ac:dyDescent="0.25">
      <c r="A1023" s="585">
        <v>27122</v>
      </c>
      <c r="B1023" s="585" t="s">
        <v>2007</v>
      </c>
      <c r="C1023" s="585" t="s">
        <v>2008</v>
      </c>
    </row>
    <row r="1024" spans="1:3" x14ac:dyDescent="0.25">
      <c r="A1024" s="585">
        <v>27129</v>
      </c>
      <c r="B1024" s="585" t="s">
        <v>2009</v>
      </c>
      <c r="C1024" s="585" t="s">
        <v>2010</v>
      </c>
    </row>
    <row r="1025" spans="1:3" x14ac:dyDescent="0.25">
      <c r="A1025" s="585">
        <v>27130</v>
      </c>
      <c r="B1025" s="585" t="s">
        <v>2011</v>
      </c>
      <c r="C1025" s="585" t="s">
        <v>2012</v>
      </c>
    </row>
    <row r="1026" spans="1:3" x14ac:dyDescent="0.25">
      <c r="A1026" s="585">
        <v>27131</v>
      </c>
      <c r="B1026" s="585" t="s">
        <v>2013</v>
      </c>
      <c r="C1026" s="585" t="s">
        <v>2002</v>
      </c>
    </row>
    <row r="1027" spans="1:3" x14ac:dyDescent="0.25">
      <c r="A1027" s="585">
        <v>27153</v>
      </c>
      <c r="B1027" s="585" t="s">
        <v>2014</v>
      </c>
      <c r="C1027" s="585" t="s">
        <v>2014</v>
      </c>
    </row>
    <row r="1028" spans="1:3" x14ac:dyDescent="0.25">
      <c r="A1028" s="585">
        <v>27172</v>
      </c>
      <c r="B1028" s="585" t="s">
        <v>2015</v>
      </c>
      <c r="C1028" s="585" t="s">
        <v>2015</v>
      </c>
    </row>
    <row r="1029" spans="1:3" x14ac:dyDescent="0.25">
      <c r="A1029" s="585">
        <v>27174</v>
      </c>
      <c r="B1029" s="585" t="s">
        <v>2016</v>
      </c>
      <c r="C1029" s="585" t="s">
        <v>2016</v>
      </c>
    </row>
    <row r="1030" spans="1:3" x14ac:dyDescent="0.25">
      <c r="A1030" s="585">
        <v>27176</v>
      </c>
      <c r="B1030" s="585" t="s">
        <v>2017</v>
      </c>
      <c r="C1030" s="585" t="s">
        <v>2018</v>
      </c>
    </row>
    <row r="1031" spans="1:3" x14ac:dyDescent="0.25">
      <c r="A1031" s="585">
        <v>27184</v>
      </c>
      <c r="B1031" s="585" t="s">
        <v>2019</v>
      </c>
      <c r="C1031" s="585" t="s">
        <v>2019</v>
      </c>
    </row>
    <row r="1032" spans="1:3" x14ac:dyDescent="0.25">
      <c r="A1032" s="585">
        <v>27186</v>
      </c>
      <c r="B1032" s="585" t="s">
        <v>2020</v>
      </c>
      <c r="C1032" s="585" t="s">
        <v>2020</v>
      </c>
    </row>
    <row r="1033" spans="1:3" x14ac:dyDescent="0.25">
      <c r="A1033" s="585">
        <v>27207</v>
      </c>
      <c r="B1033" s="585" t="s">
        <v>2021</v>
      </c>
      <c r="C1033" s="585" t="s">
        <v>2022</v>
      </c>
    </row>
    <row r="1034" spans="1:3" x14ac:dyDescent="0.25">
      <c r="A1034" s="585">
        <v>27210</v>
      </c>
      <c r="B1034" s="585" t="s">
        <v>2023</v>
      </c>
      <c r="C1034" s="585" t="s">
        <v>2015</v>
      </c>
    </row>
    <row r="1035" spans="1:3" x14ac:dyDescent="0.25">
      <c r="A1035" s="585">
        <v>27216</v>
      </c>
      <c r="B1035" s="585" t="s">
        <v>2024</v>
      </c>
      <c r="C1035" s="585" t="s">
        <v>2025</v>
      </c>
    </row>
    <row r="1036" spans="1:3" x14ac:dyDescent="0.25">
      <c r="A1036" s="585">
        <v>27227</v>
      </c>
      <c r="B1036" s="585" t="s">
        <v>2026</v>
      </c>
      <c r="C1036" s="585" t="s">
        <v>2026</v>
      </c>
    </row>
    <row r="1037" spans="1:3" x14ac:dyDescent="0.25">
      <c r="A1037" s="585">
        <v>27228</v>
      </c>
      <c r="B1037" s="585" t="s">
        <v>2027</v>
      </c>
      <c r="C1037" s="585" t="s">
        <v>2028</v>
      </c>
    </row>
    <row r="1038" spans="1:3" x14ac:dyDescent="0.25">
      <c r="A1038" s="585">
        <v>27243</v>
      </c>
      <c r="B1038" s="585" t="s">
        <v>2029</v>
      </c>
      <c r="C1038" s="585" t="s">
        <v>2030</v>
      </c>
    </row>
    <row r="1039" spans="1:3" x14ac:dyDescent="0.25">
      <c r="A1039" s="585">
        <v>27274</v>
      </c>
      <c r="B1039" s="585" t="s">
        <v>2031</v>
      </c>
      <c r="C1039" s="585" t="s">
        <v>2032</v>
      </c>
    </row>
    <row r="1040" spans="1:3" x14ac:dyDescent="0.25">
      <c r="A1040" s="585">
        <v>27326</v>
      </c>
      <c r="B1040" s="585" t="s">
        <v>2033</v>
      </c>
      <c r="C1040" s="585" t="s">
        <v>2034</v>
      </c>
    </row>
    <row r="1041" spans="1:3" x14ac:dyDescent="0.25">
      <c r="A1041" s="585">
        <v>27335</v>
      </c>
      <c r="B1041" s="585" t="s">
        <v>2035</v>
      </c>
      <c r="C1041" s="585" t="s">
        <v>2036</v>
      </c>
    </row>
    <row r="1042" spans="1:3" x14ac:dyDescent="0.25">
      <c r="A1042" s="585">
        <v>27338</v>
      </c>
      <c r="B1042" s="585" t="s">
        <v>2037</v>
      </c>
      <c r="C1042" s="585" t="s">
        <v>2038</v>
      </c>
    </row>
    <row r="1043" spans="1:3" x14ac:dyDescent="0.25">
      <c r="A1043" s="585">
        <v>27342</v>
      </c>
      <c r="B1043" s="585" t="s">
        <v>2039</v>
      </c>
      <c r="C1043" s="585" t="s">
        <v>2040</v>
      </c>
    </row>
    <row r="1044" spans="1:3" x14ac:dyDescent="0.25">
      <c r="A1044" s="585">
        <v>27343</v>
      </c>
      <c r="B1044" s="585" t="s">
        <v>2041</v>
      </c>
      <c r="C1044" s="585" t="s">
        <v>2042</v>
      </c>
    </row>
    <row r="1045" spans="1:3" x14ac:dyDescent="0.25">
      <c r="A1045" s="585">
        <v>27345</v>
      </c>
      <c r="B1045" s="585" t="s">
        <v>2043</v>
      </c>
      <c r="C1045" s="585" t="s">
        <v>2044</v>
      </c>
    </row>
    <row r="1046" spans="1:3" x14ac:dyDescent="0.25">
      <c r="A1046" s="585">
        <v>27370</v>
      </c>
      <c r="B1046" s="585" t="s">
        <v>2045</v>
      </c>
      <c r="C1046" s="585" t="s">
        <v>2046</v>
      </c>
    </row>
    <row r="1047" spans="1:3" x14ac:dyDescent="0.25">
      <c r="A1047" s="585">
        <v>27402</v>
      </c>
      <c r="B1047" s="585" t="s">
        <v>2047</v>
      </c>
      <c r="C1047" s="585" t="s">
        <v>2048</v>
      </c>
    </row>
    <row r="1048" spans="1:3" x14ac:dyDescent="0.25">
      <c r="A1048" s="585">
        <v>27405</v>
      </c>
      <c r="B1048" s="585" t="s">
        <v>2049</v>
      </c>
      <c r="C1048" s="585" t="s">
        <v>2050</v>
      </c>
    </row>
    <row r="1049" spans="1:3" x14ac:dyDescent="0.25">
      <c r="A1049" s="585">
        <v>27411</v>
      </c>
      <c r="B1049" s="585" t="s">
        <v>2051</v>
      </c>
      <c r="C1049" s="585" t="s">
        <v>2051</v>
      </c>
    </row>
    <row r="1050" spans="1:3" x14ac:dyDescent="0.25">
      <c r="A1050" s="585">
        <v>27414</v>
      </c>
      <c r="B1050" s="585" t="s">
        <v>2052</v>
      </c>
      <c r="C1050" s="585" t="s">
        <v>2052</v>
      </c>
    </row>
    <row r="1051" spans="1:3" x14ac:dyDescent="0.25">
      <c r="A1051" s="585">
        <v>27415</v>
      </c>
      <c r="B1051" s="585" t="s">
        <v>2053</v>
      </c>
      <c r="C1051" s="585" t="s">
        <v>2053</v>
      </c>
    </row>
    <row r="1052" spans="1:3" x14ac:dyDescent="0.25">
      <c r="A1052" s="585">
        <v>27416</v>
      </c>
      <c r="B1052" s="585" t="s">
        <v>2054</v>
      </c>
      <c r="C1052" s="585" t="s">
        <v>2054</v>
      </c>
    </row>
    <row r="1053" spans="1:3" x14ac:dyDescent="0.25">
      <c r="A1053" s="585">
        <v>27417</v>
      </c>
      <c r="B1053" s="585" t="s">
        <v>2055</v>
      </c>
      <c r="C1053" s="585" t="s">
        <v>2055</v>
      </c>
    </row>
    <row r="1054" spans="1:3" x14ac:dyDescent="0.25">
      <c r="A1054" s="585">
        <v>27421</v>
      </c>
      <c r="B1054" s="585" t="s">
        <v>2056</v>
      </c>
      <c r="C1054" s="585" t="s">
        <v>2057</v>
      </c>
    </row>
    <row r="1055" spans="1:3" x14ac:dyDescent="0.25">
      <c r="A1055" s="585">
        <v>27448</v>
      </c>
      <c r="B1055" s="585" t="s">
        <v>2058</v>
      </c>
      <c r="C1055" s="585" t="s">
        <v>2059</v>
      </c>
    </row>
    <row r="1056" spans="1:3" x14ac:dyDescent="0.25">
      <c r="A1056" s="585">
        <v>27476</v>
      </c>
      <c r="B1056" s="585" t="s">
        <v>3470</v>
      </c>
      <c r="C1056" s="585" t="s">
        <v>3471</v>
      </c>
    </row>
    <row r="1057" spans="1:3" x14ac:dyDescent="0.25">
      <c r="A1057" s="585">
        <v>27483</v>
      </c>
      <c r="B1057" s="585" t="s">
        <v>2060</v>
      </c>
      <c r="C1057" s="585" t="s">
        <v>2061</v>
      </c>
    </row>
    <row r="1058" spans="1:3" x14ac:dyDescent="0.25">
      <c r="A1058" s="585">
        <v>27484</v>
      </c>
      <c r="B1058" s="585" t="s">
        <v>2062</v>
      </c>
      <c r="C1058" s="585" t="s">
        <v>2063</v>
      </c>
    </row>
    <row r="1059" spans="1:3" x14ac:dyDescent="0.25">
      <c r="A1059" s="585">
        <v>27505</v>
      </c>
      <c r="B1059" s="585" t="s">
        <v>2064</v>
      </c>
      <c r="C1059" s="585" t="s">
        <v>2065</v>
      </c>
    </row>
    <row r="1060" spans="1:3" x14ac:dyDescent="0.25">
      <c r="A1060" s="585">
        <v>27530</v>
      </c>
      <c r="B1060" s="585" t="s">
        <v>2066</v>
      </c>
      <c r="C1060" s="585" t="s">
        <v>2067</v>
      </c>
    </row>
    <row r="1061" spans="1:3" x14ac:dyDescent="0.25">
      <c r="A1061" s="585">
        <v>27532</v>
      </c>
      <c r="B1061" s="585" t="s">
        <v>2068</v>
      </c>
      <c r="C1061" s="585" t="s">
        <v>2069</v>
      </c>
    </row>
    <row r="1062" spans="1:3" x14ac:dyDescent="0.25">
      <c r="A1062" s="585">
        <v>27533</v>
      </c>
      <c r="B1062" s="585" t="s">
        <v>2070</v>
      </c>
      <c r="C1062" s="585" t="s">
        <v>2070</v>
      </c>
    </row>
    <row r="1063" spans="1:3" x14ac:dyDescent="0.25">
      <c r="A1063" s="585">
        <v>27534</v>
      </c>
      <c r="B1063" s="585" t="s">
        <v>2071</v>
      </c>
      <c r="C1063" s="585" t="s">
        <v>2072</v>
      </c>
    </row>
    <row r="1064" spans="1:3" x14ac:dyDescent="0.25">
      <c r="A1064" s="585">
        <v>27549</v>
      </c>
      <c r="B1064" s="585" t="s">
        <v>2073</v>
      </c>
      <c r="C1064" s="585" t="s">
        <v>2073</v>
      </c>
    </row>
    <row r="1065" spans="1:3" x14ac:dyDescent="0.25">
      <c r="A1065" s="585">
        <v>27567</v>
      </c>
      <c r="B1065" s="585" t="s">
        <v>2074</v>
      </c>
      <c r="C1065" s="585" t="s">
        <v>2074</v>
      </c>
    </row>
    <row r="1066" spans="1:3" x14ac:dyDescent="0.25">
      <c r="A1066" s="585">
        <v>27569</v>
      </c>
      <c r="B1066" s="585" t="s">
        <v>2075</v>
      </c>
      <c r="C1066" s="585" t="s">
        <v>2075</v>
      </c>
    </row>
    <row r="1067" spans="1:3" x14ac:dyDescent="0.25">
      <c r="A1067" s="585">
        <v>27572</v>
      </c>
      <c r="B1067" s="585" t="s">
        <v>2076</v>
      </c>
      <c r="C1067" s="585" t="s">
        <v>2077</v>
      </c>
    </row>
    <row r="1068" spans="1:3" x14ac:dyDescent="0.25">
      <c r="A1068" s="585">
        <v>27575</v>
      </c>
      <c r="B1068" s="585" t="s">
        <v>2078</v>
      </c>
      <c r="C1068" s="585" t="s">
        <v>2078</v>
      </c>
    </row>
    <row r="1069" spans="1:3" x14ac:dyDescent="0.25">
      <c r="A1069" s="585">
        <v>27576</v>
      </c>
      <c r="B1069" s="585" t="s">
        <v>2079</v>
      </c>
      <c r="C1069" s="585" t="s">
        <v>2080</v>
      </c>
    </row>
    <row r="1070" spans="1:3" x14ac:dyDescent="0.25">
      <c r="A1070" s="585">
        <v>27587</v>
      </c>
      <c r="B1070" s="585" t="s">
        <v>2081</v>
      </c>
      <c r="C1070" s="585" t="s">
        <v>2082</v>
      </c>
    </row>
    <row r="1071" spans="1:3" x14ac:dyDescent="0.25">
      <c r="A1071" s="585">
        <v>27645</v>
      </c>
      <c r="B1071" s="585" t="s">
        <v>1989</v>
      </c>
      <c r="C1071" s="585" t="s">
        <v>1117</v>
      </c>
    </row>
    <row r="1072" spans="1:3" x14ac:dyDescent="0.25">
      <c r="A1072" s="585">
        <v>27672</v>
      </c>
      <c r="B1072" s="585" t="s">
        <v>2083</v>
      </c>
      <c r="C1072" s="585" t="s">
        <v>2083</v>
      </c>
    </row>
    <row r="1073" spans="1:3" x14ac:dyDescent="0.25">
      <c r="A1073" s="585">
        <v>27673</v>
      </c>
      <c r="B1073" s="585" t="s">
        <v>2084</v>
      </c>
      <c r="C1073" s="585" t="s">
        <v>2085</v>
      </c>
    </row>
    <row r="1074" spans="1:3" x14ac:dyDescent="0.25">
      <c r="A1074" s="585">
        <v>27709</v>
      </c>
      <c r="B1074" s="585" t="s">
        <v>2086</v>
      </c>
      <c r="C1074" s="585" t="s">
        <v>2087</v>
      </c>
    </row>
    <row r="1075" spans="1:3" x14ac:dyDescent="0.25">
      <c r="A1075" s="585">
        <v>27711</v>
      </c>
      <c r="B1075" s="585" t="s">
        <v>2088</v>
      </c>
      <c r="C1075" s="585" t="s">
        <v>2088</v>
      </c>
    </row>
    <row r="1076" spans="1:3" x14ac:dyDescent="0.25">
      <c r="A1076" s="585">
        <v>27713</v>
      </c>
      <c r="B1076" s="585" t="s">
        <v>2089</v>
      </c>
      <c r="C1076" s="585" t="s">
        <v>2090</v>
      </c>
    </row>
    <row r="1077" spans="1:3" x14ac:dyDescent="0.25">
      <c r="A1077" s="585">
        <v>27719</v>
      </c>
      <c r="B1077" s="585" t="s">
        <v>2091</v>
      </c>
      <c r="C1077" s="585" t="s">
        <v>2092</v>
      </c>
    </row>
    <row r="1078" spans="1:3" x14ac:dyDescent="0.25">
      <c r="A1078" s="585">
        <v>27722</v>
      </c>
      <c r="B1078" s="585" t="s">
        <v>2093</v>
      </c>
      <c r="C1078" s="585" t="s">
        <v>2094</v>
      </c>
    </row>
    <row r="1079" spans="1:3" x14ac:dyDescent="0.25">
      <c r="A1079" s="585">
        <v>27727</v>
      </c>
      <c r="B1079" s="585" t="s">
        <v>2095</v>
      </c>
      <c r="C1079" s="585" t="s">
        <v>2096</v>
      </c>
    </row>
    <row r="1080" spans="1:3" x14ac:dyDescent="0.25">
      <c r="A1080" s="585">
        <v>27728</v>
      </c>
      <c r="B1080" s="585" t="s">
        <v>2097</v>
      </c>
      <c r="C1080" s="585" t="s">
        <v>2098</v>
      </c>
    </row>
    <row r="1081" spans="1:3" x14ac:dyDescent="0.25">
      <c r="A1081" s="585">
        <v>27729</v>
      </c>
      <c r="B1081" s="585" t="s">
        <v>2099</v>
      </c>
      <c r="C1081" s="585" t="s">
        <v>2100</v>
      </c>
    </row>
    <row r="1082" spans="1:3" x14ac:dyDescent="0.25">
      <c r="A1082" s="585">
        <v>27730</v>
      </c>
      <c r="B1082" s="585" t="s">
        <v>2101</v>
      </c>
      <c r="C1082" s="585" t="s">
        <v>2102</v>
      </c>
    </row>
    <row r="1083" spans="1:3" x14ac:dyDescent="0.25">
      <c r="A1083" s="585">
        <v>27731</v>
      </c>
      <c r="B1083" s="585" t="s">
        <v>2103</v>
      </c>
      <c r="C1083" s="585" t="s">
        <v>2104</v>
      </c>
    </row>
    <row r="1084" spans="1:3" x14ac:dyDescent="0.25">
      <c r="A1084" s="585">
        <v>27767</v>
      </c>
      <c r="B1084" s="585" t="s">
        <v>2105</v>
      </c>
      <c r="C1084" s="585" t="s">
        <v>2105</v>
      </c>
    </row>
    <row r="1085" spans="1:3" x14ac:dyDescent="0.25">
      <c r="A1085" s="585">
        <v>27768</v>
      </c>
      <c r="B1085" s="585" t="s">
        <v>2106</v>
      </c>
      <c r="C1085" s="585" t="s">
        <v>2107</v>
      </c>
    </row>
    <row r="1086" spans="1:3" x14ac:dyDescent="0.25">
      <c r="A1086" s="585">
        <v>27769</v>
      </c>
      <c r="B1086" s="585"/>
      <c r="C1086" s="585" t="s">
        <v>2108</v>
      </c>
    </row>
    <row r="1087" spans="1:3" x14ac:dyDescent="0.25">
      <c r="A1087" s="585">
        <v>27787</v>
      </c>
      <c r="B1087" s="585" t="s">
        <v>2109</v>
      </c>
      <c r="C1087" s="585" t="s">
        <v>2110</v>
      </c>
    </row>
    <row r="1088" spans="1:3" x14ac:dyDescent="0.25">
      <c r="A1088" s="585">
        <v>27795</v>
      </c>
      <c r="B1088" s="585" t="s">
        <v>2111</v>
      </c>
      <c r="C1088" s="585" t="s">
        <v>2112</v>
      </c>
    </row>
    <row r="1089" spans="1:3" x14ac:dyDescent="0.25">
      <c r="A1089" s="585">
        <v>27796</v>
      </c>
      <c r="B1089" s="585" t="s">
        <v>2113</v>
      </c>
      <c r="C1089" s="585" t="s">
        <v>2113</v>
      </c>
    </row>
    <row r="1090" spans="1:3" x14ac:dyDescent="0.25">
      <c r="A1090" s="585">
        <v>27814</v>
      </c>
      <c r="B1090" s="585" t="s">
        <v>2114</v>
      </c>
      <c r="C1090" s="585" t="s">
        <v>2115</v>
      </c>
    </row>
    <row r="1091" spans="1:3" x14ac:dyDescent="0.25">
      <c r="A1091" s="585">
        <v>27842</v>
      </c>
      <c r="B1091" s="585" t="s">
        <v>2116</v>
      </c>
      <c r="C1091" s="585" t="s">
        <v>2117</v>
      </c>
    </row>
    <row r="1092" spans="1:3" x14ac:dyDescent="0.25">
      <c r="A1092" s="585">
        <v>27867</v>
      </c>
      <c r="B1092" s="585" t="s">
        <v>2118</v>
      </c>
      <c r="C1092" s="585" t="s">
        <v>2119</v>
      </c>
    </row>
    <row r="1093" spans="1:3" x14ac:dyDescent="0.25">
      <c r="A1093" s="585">
        <v>27872</v>
      </c>
      <c r="B1093" s="585" t="s">
        <v>2120</v>
      </c>
      <c r="C1093" s="585" t="s">
        <v>2121</v>
      </c>
    </row>
    <row r="1094" spans="1:3" x14ac:dyDescent="0.25">
      <c r="A1094" s="585">
        <v>27876</v>
      </c>
      <c r="B1094" s="585" t="s">
        <v>2122</v>
      </c>
      <c r="C1094" s="585" t="s">
        <v>2122</v>
      </c>
    </row>
    <row r="1095" spans="1:3" x14ac:dyDescent="0.25">
      <c r="A1095" s="585">
        <v>27877</v>
      </c>
      <c r="B1095" s="585" t="s">
        <v>2123</v>
      </c>
      <c r="C1095" s="585" t="s">
        <v>2123</v>
      </c>
    </row>
    <row r="1096" spans="1:3" x14ac:dyDescent="0.25">
      <c r="A1096" s="585">
        <v>27878</v>
      </c>
      <c r="B1096" s="585" t="s">
        <v>2124</v>
      </c>
      <c r="C1096" s="585" t="s">
        <v>2124</v>
      </c>
    </row>
    <row r="1097" spans="1:3" x14ac:dyDescent="0.25">
      <c r="A1097" s="585">
        <v>27879</v>
      </c>
      <c r="B1097" s="585" t="s">
        <v>2125</v>
      </c>
      <c r="C1097" s="585" t="s">
        <v>2125</v>
      </c>
    </row>
    <row r="1098" spans="1:3" x14ac:dyDescent="0.25">
      <c r="A1098" s="585">
        <v>27885</v>
      </c>
      <c r="B1098" s="585" t="s">
        <v>2126</v>
      </c>
      <c r="C1098" s="585" t="s">
        <v>2126</v>
      </c>
    </row>
    <row r="1099" spans="1:3" x14ac:dyDescent="0.25">
      <c r="A1099" s="585">
        <v>27886</v>
      </c>
      <c r="B1099" s="585" t="s">
        <v>2127</v>
      </c>
      <c r="C1099" s="585" t="s">
        <v>2128</v>
      </c>
    </row>
    <row r="1100" spans="1:3" x14ac:dyDescent="0.25">
      <c r="A1100" s="585">
        <v>27888</v>
      </c>
      <c r="B1100" s="585" t="s">
        <v>2129</v>
      </c>
      <c r="C1100" s="585" t="s">
        <v>2130</v>
      </c>
    </row>
    <row r="1101" spans="1:3" x14ac:dyDescent="0.25">
      <c r="A1101" s="585">
        <v>27891</v>
      </c>
      <c r="B1101" s="585" t="s">
        <v>2131</v>
      </c>
      <c r="C1101" s="585" t="s">
        <v>2132</v>
      </c>
    </row>
    <row r="1102" spans="1:3" x14ac:dyDescent="0.25">
      <c r="A1102" s="585">
        <v>27893</v>
      </c>
      <c r="B1102" s="585" t="s">
        <v>2133</v>
      </c>
      <c r="C1102" s="585" t="s">
        <v>2134</v>
      </c>
    </row>
    <row r="1103" spans="1:3" x14ac:dyDescent="0.25">
      <c r="A1103" s="585">
        <v>27902</v>
      </c>
      <c r="B1103" s="585" t="s">
        <v>2135</v>
      </c>
      <c r="C1103" s="585" t="s">
        <v>2136</v>
      </c>
    </row>
    <row r="1104" spans="1:3" x14ac:dyDescent="0.25">
      <c r="A1104" s="585">
        <v>27908</v>
      </c>
      <c r="B1104" s="585" t="s">
        <v>2137</v>
      </c>
      <c r="C1104" s="585" t="s">
        <v>2137</v>
      </c>
    </row>
    <row r="1105" spans="1:3" x14ac:dyDescent="0.25">
      <c r="A1105" s="585">
        <v>27910</v>
      </c>
      <c r="B1105" s="585" t="s">
        <v>2138</v>
      </c>
      <c r="C1105" s="585" t="s">
        <v>2139</v>
      </c>
    </row>
    <row r="1106" spans="1:3" x14ac:dyDescent="0.25">
      <c r="A1106" s="585">
        <v>27913</v>
      </c>
      <c r="B1106" s="585" t="s">
        <v>2140</v>
      </c>
      <c r="C1106" s="585" t="s">
        <v>2141</v>
      </c>
    </row>
    <row r="1107" spans="1:3" x14ac:dyDescent="0.25">
      <c r="A1107" s="585">
        <v>27922</v>
      </c>
      <c r="B1107" s="585" t="s">
        <v>2142</v>
      </c>
      <c r="C1107" s="585" t="s">
        <v>2143</v>
      </c>
    </row>
    <row r="1108" spans="1:3" x14ac:dyDescent="0.25">
      <c r="A1108" s="585">
        <v>27923</v>
      </c>
      <c r="B1108" s="585"/>
      <c r="C1108" s="585" t="s">
        <v>2144</v>
      </c>
    </row>
    <row r="1109" spans="1:3" x14ac:dyDescent="0.25">
      <c r="A1109" s="585">
        <v>27928</v>
      </c>
      <c r="B1109" s="585" t="s">
        <v>2145</v>
      </c>
      <c r="C1109" s="585" t="s">
        <v>2146</v>
      </c>
    </row>
    <row r="1110" spans="1:3" x14ac:dyDescent="0.25">
      <c r="A1110" s="585">
        <v>27935</v>
      </c>
      <c r="B1110" s="585" t="s">
        <v>2147</v>
      </c>
      <c r="C1110" s="585" t="s">
        <v>2148</v>
      </c>
    </row>
    <row r="1111" spans="1:3" x14ac:dyDescent="0.25">
      <c r="A1111" s="585">
        <v>27940</v>
      </c>
      <c r="B1111" s="585" t="s">
        <v>2149</v>
      </c>
      <c r="C1111" s="585" t="s">
        <v>2150</v>
      </c>
    </row>
    <row r="1112" spans="1:3" x14ac:dyDescent="0.25">
      <c r="A1112" s="585">
        <v>27941</v>
      </c>
      <c r="B1112" s="585" t="s">
        <v>2151</v>
      </c>
      <c r="C1112" s="585" t="s">
        <v>2152</v>
      </c>
    </row>
    <row r="1113" spans="1:3" x14ac:dyDescent="0.25">
      <c r="A1113" s="585">
        <v>27950</v>
      </c>
      <c r="B1113" s="585" t="s">
        <v>2153</v>
      </c>
      <c r="C1113" s="585" t="s">
        <v>2154</v>
      </c>
    </row>
    <row r="1114" spans="1:3" x14ac:dyDescent="0.25">
      <c r="A1114" s="585">
        <v>27952</v>
      </c>
      <c r="B1114" s="585" t="s">
        <v>2155</v>
      </c>
      <c r="C1114" s="585" t="s">
        <v>2156</v>
      </c>
    </row>
    <row r="1115" spans="1:3" x14ac:dyDescent="0.25">
      <c r="A1115" s="585">
        <v>27957</v>
      </c>
      <c r="B1115" s="585" t="s">
        <v>2157</v>
      </c>
      <c r="C1115" s="585" t="s">
        <v>2158</v>
      </c>
    </row>
    <row r="1116" spans="1:3" x14ac:dyDescent="0.25">
      <c r="A1116" s="585">
        <v>27958</v>
      </c>
      <c r="B1116" s="585" t="s">
        <v>2159</v>
      </c>
      <c r="C1116" s="585" t="s">
        <v>2160</v>
      </c>
    </row>
    <row r="1117" spans="1:3" x14ac:dyDescent="0.25">
      <c r="A1117" s="585">
        <v>27972</v>
      </c>
      <c r="B1117" s="585" t="s">
        <v>2161</v>
      </c>
      <c r="C1117" s="585" t="s">
        <v>2161</v>
      </c>
    </row>
    <row r="1118" spans="1:3" x14ac:dyDescent="0.25">
      <c r="A1118" s="585">
        <v>27974</v>
      </c>
      <c r="B1118" s="585" t="s">
        <v>2162</v>
      </c>
      <c r="C1118" s="585" t="s">
        <v>2163</v>
      </c>
    </row>
    <row r="1119" spans="1:3" x14ac:dyDescent="0.25">
      <c r="A1119" s="585">
        <v>27975</v>
      </c>
      <c r="B1119" s="585" t="s">
        <v>2164</v>
      </c>
      <c r="C1119" s="585" t="s">
        <v>2165</v>
      </c>
    </row>
    <row r="1120" spans="1:3" x14ac:dyDescent="0.25">
      <c r="A1120" s="585">
        <v>27984</v>
      </c>
      <c r="B1120" s="585" t="s">
        <v>2166</v>
      </c>
      <c r="C1120" s="585" t="s">
        <v>2166</v>
      </c>
    </row>
    <row r="1121" spans="1:3" x14ac:dyDescent="0.25">
      <c r="A1121" s="585">
        <v>27985</v>
      </c>
      <c r="B1121" s="585" t="s">
        <v>2167</v>
      </c>
      <c r="C1121" s="585" t="s">
        <v>1967</v>
      </c>
    </row>
    <row r="1122" spans="1:3" x14ac:dyDescent="0.25">
      <c r="A1122" s="585">
        <v>27987</v>
      </c>
      <c r="B1122" s="585" t="s">
        <v>2168</v>
      </c>
      <c r="C1122" s="585" t="s">
        <v>2168</v>
      </c>
    </row>
    <row r="1123" spans="1:3" x14ac:dyDescent="0.25">
      <c r="A1123" s="585">
        <v>28000</v>
      </c>
      <c r="B1123" s="585" t="s">
        <v>2169</v>
      </c>
      <c r="C1123" s="585" t="s">
        <v>3341</v>
      </c>
    </row>
    <row r="1124" spans="1:3" x14ac:dyDescent="0.25">
      <c r="A1124" s="585">
        <v>28001</v>
      </c>
      <c r="B1124" s="585" t="s">
        <v>1372</v>
      </c>
      <c r="C1124" s="585" t="s">
        <v>1373</v>
      </c>
    </row>
    <row r="1125" spans="1:3" x14ac:dyDescent="0.25">
      <c r="A1125" s="585">
        <v>28010</v>
      </c>
      <c r="B1125" s="585" t="s">
        <v>2170</v>
      </c>
      <c r="C1125" s="585" t="s">
        <v>2170</v>
      </c>
    </row>
    <row r="1126" spans="1:3" x14ac:dyDescent="0.25">
      <c r="A1126" s="585">
        <v>28012</v>
      </c>
      <c r="B1126" s="585" t="s">
        <v>2171</v>
      </c>
      <c r="C1126" s="585" t="s">
        <v>2172</v>
      </c>
    </row>
    <row r="1127" spans="1:3" x14ac:dyDescent="0.25">
      <c r="A1127" s="585">
        <v>28018</v>
      </c>
      <c r="B1127" s="585" t="s">
        <v>2173</v>
      </c>
      <c r="C1127" s="585" t="s">
        <v>2174</v>
      </c>
    </row>
    <row r="1128" spans="1:3" x14ac:dyDescent="0.25">
      <c r="A1128" s="585">
        <v>28019</v>
      </c>
      <c r="B1128" s="585" t="s">
        <v>2175</v>
      </c>
      <c r="C1128" s="585" t="s">
        <v>2176</v>
      </c>
    </row>
    <row r="1129" spans="1:3" x14ac:dyDescent="0.25">
      <c r="A1129" s="585">
        <v>28020</v>
      </c>
      <c r="B1129" s="585" t="s">
        <v>2177</v>
      </c>
      <c r="C1129" s="585" t="s">
        <v>2178</v>
      </c>
    </row>
    <row r="1130" spans="1:3" x14ac:dyDescent="0.25">
      <c r="A1130" s="585">
        <v>28022</v>
      </c>
      <c r="B1130" s="585" t="s">
        <v>2179</v>
      </c>
      <c r="C1130" s="585" t="s">
        <v>2180</v>
      </c>
    </row>
    <row r="1131" spans="1:3" x14ac:dyDescent="0.25">
      <c r="A1131" s="585">
        <v>28023</v>
      </c>
      <c r="B1131" s="585" t="s">
        <v>2181</v>
      </c>
      <c r="C1131" s="585" t="s">
        <v>2182</v>
      </c>
    </row>
    <row r="1132" spans="1:3" x14ac:dyDescent="0.25">
      <c r="A1132" s="585">
        <v>28026</v>
      </c>
      <c r="B1132" s="585" t="s">
        <v>3472</v>
      </c>
      <c r="C1132" s="585" t="s">
        <v>3472</v>
      </c>
    </row>
    <row r="1133" spans="1:3" x14ac:dyDescent="0.25">
      <c r="A1133" s="585">
        <v>28028</v>
      </c>
      <c r="B1133" s="585" t="s">
        <v>2183</v>
      </c>
      <c r="C1133" s="585" t="s">
        <v>2184</v>
      </c>
    </row>
    <row r="1134" spans="1:3" x14ac:dyDescent="0.25">
      <c r="A1134" s="585">
        <v>28030</v>
      </c>
      <c r="B1134" s="585" t="s">
        <v>2185</v>
      </c>
      <c r="C1134" s="585" t="s">
        <v>2185</v>
      </c>
    </row>
    <row r="1135" spans="1:3" x14ac:dyDescent="0.25">
      <c r="A1135" s="585">
        <v>28036</v>
      </c>
      <c r="B1135" s="585" t="s">
        <v>2186</v>
      </c>
      <c r="C1135" s="585" t="s">
        <v>2187</v>
      </c>
    </row>
    <row r="1136" spans="1:3" x14ac:dyDescent="0.25">
      <c r="A1136" s="585">
        <v>28037</v>
      </c>
      <c r="B1136" s="585" t="s">
        <v>2188</v>
      </c>
      <c r="C1136" s="585" t="s">
        <v>2189</v>
      </c>
    </row>
    <row r="1137" spans="1:3" x14ac:dyDescent="0.25">
      <c r="A1137" s="585">
        <v>28042</v>
      </c>
      <c r="B1137" s="585" t="s">
        <v>2190</v>
      </c>
      <c r="C1137" s="585" t="s">
        <v>2191</v>
      </c>
    </row>
    <row r="1138" spans="1:3" x14ac:dyDescent="0.25">
      <c r="A1138" s="585">
        <v>28047</v>
      </c>
      <c r="B1138" s="585" t="s">
        <v>2192</v>
      </c>
      <c r="C1138" s="585" t="s">
        <v>2193</v>
      </c>
    </row>
    <row r="1139" spans="1:3" x14ac:dyDescent="0.25">
      <c r="A1139" s="585">
        <v>28051</v>
      </c>
      <c r="B1139" s="585" t="s">
        <v>2194</v>
      </c>
      <c r="C1139" s="585" t="s">
        <v>2195</v>
      </c>
    </row>
    <row r="1140" spans="1:3" x14ac:dyDescent="0.25">
      <c r="A1140" s="585">
        <v>28052</v>
      </c>
      <c r="B1140" s="585" t="s">
        <v>2196</v>
      </c>
      <c r="C1140" s="585" t="s">
        <v>2197</v>
      </c>
    </row>
    <row r="1141" spans="1:3" x14ac:dyDescent="0.25">
      <c r="A1141" s="585">
        <v>28058</v>
      </c>
      <c r="B1141" s="585" t="s">
        <v>2198</v>
      </c>
      <c r="C1141" s="585" t="s">
        <v>2199</v>
      </c>
    </row>
    <row r="1142" spans="1:3" x14ac:dyDescent="0.25">
      <c r="A1142" s="585">
        <v>28060</v>
      </c>
      <c r="B1142" s="585" t="s">
        <v>2200</v>
      </c>
      <c r="C1142" s="585" t="s">
        <v>2200</v>
      </c>
    </row>
    <row r="1143" spans="1:3" x14ac:dyDescent="0.25">
      <c r="A1143" s="585">
        <v>28076</v>
      </c>
      <c r="B1143" s="585" t="s">
        <v>2201</v>
      </c>
      <c r="C1143" s="585" t="s">
        <v>2202</v>
      </c>
    </row>
    <row r="1144" spans="1:3" x14ac:dyDescent="0.25">
      <c r="A1144" s="585">
        <v>28077</v>
      </c>
      <c r="B1144" s="585" t="s">
        <v>2203</v>
      </c>
      <c r="C1144" s="585" t="s">
        <v>2204</v>
      </c>
    </row>
    <row r="1145" spans="1:3" x14ac:dyDescent="0.25">
      <c r="A1145" s="585">
        <v>28082</v>
      </c>
      <c r="B1145" s="585" t="s">
        <v>2205</v>
      </c>
      <c r="C1145" s="585" t="s">
        <v>2206</v>
      </c>
    </row>
    <row r="1146" spans="1:3" x14ac:dyDescent="0.25">
      <c r="A1146" s="585">
        <v>28084</v>
      </c>
      <c r="B1146" s="585" t="s">
        <v>2207</v>
      </c>
      <c r="C1146" s="585" t="s">
        <v>2208</v>
      </c>
    </row>
    <row r="1147" spans="1:3" x14ac:dyDescent="0.25">
      <c r="A1147" s="585">
        <v>28089</v>
      </c>
      <c r="B1147" s="585" t="s">
        <v>2209</v>
      </c>
      <c r="C1147" s="585" t="s">
        <v>2209</v>
      </c>
    </row>
    <row r="1148" spans="1:3" x14ac:dyDescent="0.25">
      <c r="A1148" s="585">
        <v>28094</v>
      </c>
      <c r="B1148" s="585" t="s">
        <v>2210</v>
      </c>
      <c r="C1148" s="585" t="s">
        <v>2211</v>
      </c>
    </row>
    <row r="1149" spans="1:3" x14ac:dyDescent="0.25">
      <c r="A1149" s="585">
        <v>28096</v>
      </c>
      <c r="B1149" s="585" t="s">
        <v>2212</v>
      </c>
      <c r="C1149" s="585" t="s">
        <v>2213</v>
      </c>
    </row>
    <row r="1150" spans="1:3" x14ac:dyDescent="0.25">
      <c r="A1150" s="585">
        <v>28101</v>
      </c>
      <c r="B1150" s="585" t="s">
        <v>2214</v>
      </c>
      <c r="C1150" s="585" t="s">
        <v>2215</v>
      </c>
    </row>
    <row r="1151" spans="1:3" x14ac:dyDescent="0.25">
      <c r="A1151" s="585">
        <v>28111</v>
      </c>
      <c r="B1151" s="585" t="s">
        <v>2216</v>
      </c>
      <c r="C1151" s="585" t="s">
        <v>2217</v>
      </c>
    </row>
    <row r="1152" spans="1:3" x14ac:dyDescent="0.25">
      <c r="A1152" s="585">
        <v>28112</v>
      </c>
      <c r="B1152" s="585" t="s">
        <v>2218</v>
      </c>
      <c r="C1152" s="585" t="s">
        <v>2218</v>
      </c>
    </row>
    <row r="1153" spans="1:3" x14ac:dyDescent="0.25">
      <c r="A1153" s="585">
        <v>28118</v>
      </c>
      <c r="B1153" s="585" t="s">
        <v>2219</v>
      </c>
      <c r="C1153" s="585" t="s">
        <v>2219</v>
      </c>
    </row>
    <row r="1154" spans="1:3" x14ac:dyDescent="0.25">
      <c r="A1154" s="585">
        <v>28121</v>
      </c>
      <c r="B1154" s="585" t="s">
        <v>2220</v>
      </c>
      <c r="C1154" s="585" t="s">
        <v>2220</v>
      </c>
    </row>
    <row r="1155" spans="1:3" x14ac:dyDescent="0.25">
      <c r="A1155" s="585">
        <v>28139</v>
      </c>
      <c r="B1155" s="585" t="s">
        <v>2221</v>
      </c>
      <c r="C1155" s="585" t="s">
        <v>2222</v>
      </c>
    </row>
    <row r="1156" spans="1:3" x14ac:dyDescent="0.25">
      <c r="A1156" s="585">
        <v>28140</v>
      </c>
      <c r="B1156" s="585" t="s">
        <v>2223</v>
      </c>
      <c r="C1156" s="585" t="s">
        <v>2223</v>
      </c>
    </row>
    <row r="1157" spans="1:3" x14ac:dyDescent="0.25">
      <c r="A1157" s="585">
        <v>28148</v>
      </c>
      <c r="B1157" s="585" t="s">
        <v>2224</v>
      </c>
      <c r="C1157" s="585" t="s">
        <v>2225</v>
      </c>
    </row>
    <row r="1158" spans="1:3" x14ac:dyDescent="0.25">
      <c r="A1158" s="585">
        <v>28149</v>
      </c>
      <c r="B1158" s="585" t="s">
        <v>2226</v>
      </c>
      <c r="C1158" s="585" t="s">
        <v>2227</v>
      </c>
    </row>
    <row r="1159" spans="1:3" x14ac:dyDescent="0.25">
      <c r="A1159" s="585">
        <v>28167</v>
      </c>
      <c r="B1159" s="585" t="s">
        <v>2228</v>
      </c>
      <c r="C1159" s="585" t="s">
        <v>2228</v>
      </c>
    </row>
    <row r="1160" spans="1:3" x14ac:dyDescent="0.25">
      <c r="A1160" s="585">
        <v>28168</v>
      </c>
      <c r="B1160" s="585" t="s">
        <v>2229</v>
      </c>
      <c r="C1160" s="585" t="s">
        <v>2229</v>
      </c>
    </row>
    <row r="1161" spans="1:3" x14ac:dyDescent="0.25">
      <c r="A1161" s="585">
        <v>28171</v>
      </c>
      <c r="B1161" s="585" t="s">
        <v>2230</v>
      </c>
      <c r="C1161" s="585" t="s">
        <v>2231</v>
      </c>
    </row>
    <row r="1162" spans="1:3" x14ac:dyDescent="0.25">
      <c r="A1162" s="585">
        <v>28174</v>
      </c>
      <c r="B1162" s="585" t="s">
        <v>2232</v>
      </c>
      <c r="C1162" s="585" t="s">
        <v>2232</v>
      </c>
    </row>
    <row r="1163" spans="1:3" x14ac:dyDescent="0.25">
      <c r="A1163" s="585">
        <v>28175</v>
      </c>
      <c r="B1163" s="585" t="s">
        <v>2233</v>
      </c>
      <c r="C1163" s="585" t="s">
        <v>2234</v>
      </c>
    </row>
    <row r="1164" spans="1:3" x14ac:dyDescent="0.25">
      <c r="A1164" s="585">
        <v>28182</v>
      </c>
      <c r="B1164" s="585" t="s">
        <v>2235</v>
      </c>
      <c r="C1164" s="585" t="s">
        <v>2236</v>
      </c>
    </row>
    <row r="1165" spans="1:3" x14ac:dyDescent="0.25">
      <c r="A1165" s="585">
        <v>28183</v>
      </c>
      <c r="B1165" s="585" t="s">
        <v>2237</v>
      </c>
      <c r="C1165" s="585" t="s">
        <v>2237</v>
      </c>
    </row>
    <row r="1166" spans="1:3" x14ac:dyDescent="0.25">
      <c r="A1166" s="585">
        <v>28184</v>
      </c>
      <c r="B1166" s="585" t="s">
        <v>2238</v>
      </c>
      <c r="C1166" s="585" t="s">
        <v>2238</v>
      </c>
    </row>
    <row r="1167" spans="1:3" x14ac:dyDescent="0.25">
      <c r="A1167" s="585">
        <v>28191</v>
      </c>
      <c r="B1167" s="585" t="s">
        <v>2239</v>
      </c>
      <c r="C1167" s="585" t="s">
        <v>2240</v>
      </c>
    </row>
    <row r="1168" spans="1:3" x14ac:dyDescent="0.25">
      <c r="A1168" s="585">
        <v>28193</v>
      </c>
      <c r="B1168" s="585" t="s">
        <v>2241</v>
      </c>
      <c r="C1168" s="585" t="s">
        <v>2241</v>
      </c>
    </row>
    <row r="1169" spans="1:3" x14ac:dyDescent="0.25">
      <c r="A1169" s="585">
        <v>28195</v>
      </c>
      <c r="B1169" s="585" t="s">
        <v>2242</v>
      </c>
      <c r="C1169" s="585" t="s">
        <v>2243</v>
      </c>
    </row>
    <row r="1170" spans="1:3" x14ac:dyDescent="0.25">
      <c r="A1170" s="585">
        <v>28202</v>
      </c>
      <c r="B1170" s="585" t="s">
        <v>2244</v>
      </c>
      <c r="C1170" s="585" t="s">
        <v>2245</v>
      </c>
    </row>
    <row r="1171" spans="1:3" x14ac:dyDescent="0.25">
      <c r="A1171" s="585">
        <v>28203</v>
      </c>
      <c r="B1171" s="585" t="s">
        <v>2091</v>
      </c>
      <c r="C1171" s="585" t="s">
        <v>2092</v>
      </c>
    </row>
    <row r="1172" spans="1:3" x14ac:dyDescent="0.25">
      <c r="A1172" s="585">
        <v>28204</v>
      </c>
      <c r="B1172" s="585" t="s">
        <v>2246</v>
      </c>
      <c r="C1172" s="585" t="s">
        <v>2246</v>
      </c>
    </row>
    <row r="1173" spans="1:3" x14ac:dyDescent="0.25">
      <c r="A1173" s="585">
        <v>28206</v>
      </c>
      <c r="B1173" s="585" t="s">
        <v>2247</v>
      </c>
      <c r="C1173" s="585" t="s">
        <v>2248</v>
      </c>
    </row>
    <row r="1174" spans="1:3" x14ac:dyDescent="0.25">
      <c r="A1174" s="585">
        <v>28209</v>
      </c>
      <c r="B1174" s="585" t="s">
        <v>2249</v>
      </c>
      <c r="C1174" s="585" t="s">
        <v>2249</v>
      </c>
    </row>
    <row r="1175" spans="1:3" x14ac:dyDescent="0.25">
      <c r="A1175" s="585">
        <v>28218</v>
      </c>
      <c r="B1175" s="585" t="s">
        <v>2250</v>
      </c>
      <c r="C1175" s="585" t="s">
        <v>2251</v>
      </c>
    </row>
    <row r="1176" spans="1:3" x14ac:dyDescent="0.25">
      <c r="A1176" s="585">
        <v>28221</v>
      </c>
      <c r="B1176" s="585" t="s">
        <v>2252</v>
      </c>
      <c r="C1176" s="585" t="s">
        <v>2253</v>
      </c>
    </row>
    <row r="1177" spans="1:3" x14ac:dyDescent="0.25">
      <c r="A1177" s="585">
        <v>28231</v>
      </c>
      <c r="B1177" s="585" t="s">
        <v>2254</v>
      </c>
      <c r="C1177" s="585" t="s">
        <v>2255</v>
      </c>
    </row>
    <row r="1178" spans="1:3" x14ac:dyDescent="0.25">
      <c r="A1178" s="585">
        <v>28232</v>
      </c>
      <c r="B1178" s="585" t="s">
        <v>2256</v>
      </c>
      <c r="C1178" s="585" t="s">
        <v>2257</v>
      </c>
    </row>
    <row r="1179" spans="1:3" x14ac:dyDescent="0.25">
      <c r="A1179" s="585">
        <v>28239</v>
      </c>
      <c r="B1179" s="585"/>
      <c r="C1179" s="585" t="s">
        <v>3342</v>
      </c>
    </row>
    <row r="1180" spans="1:3" x14ac:dyDescent="0.25">
      <c r="A1180" s="585">
        <v>28242</v>
      </c>
      <c r="B1180" s="585" t="s">
        <v>2258</v>
      </c>
      <c r="C1180" s="585" t="s">
        <v>2227</v>
      </c>
    </row>
    <row r="1181" spans="1:3" x14ac:dyDescent="0.25">
      <c r="A1181" s="585">
        <v>28246</v>
      </c>
      <c r="B1181" s="585" t="s">
        <v>2259</v>
      </c>
      <c r="C1181" s="585" t="s">
        <v>2260</v>
      </c>
    </row>
    <row r="1182" spans="1:3" x14ac:dyDescent="0.25">
      <c r="A1182" s="585">
        <v>28247</v>
      </c>
      <c r="B1182" s="585"/>
      <c r="C1182" s="585" t="s">
        <v>2261</v>
      </c>
    </row>
    <row r="1183" spans="1:3" x14ac:dyDescent="0.25">
      <c r="A1183" s="585">
        <v>28288</v>
      </c>
      <c r="B1183" s="585" t="s">
        <v>2262</v>
      </c>
      <c r="C1183" s="585" t="s">
        <v>2263</v>
      </c>
    </row>
    <row r="1184" spans="1:3" x14ac:dyDescent="0.25">
      <c r="A1184" s="585">
        <v>28324</v>
      </c>
      <c r="B1184" s="585" t="s">
        <v>2264</v>
      </c>
      <c r="C1184" s="585" t="s">
        <v>2264</v>
      </c>
    </row>
    <row r="1185" spans="1:3" x14ac:dyDescent="0.25">
      <c r="A1185" s="585">
        <v>28325</v>
      </c>
      <c r="B1185" s="585" t="s">
        <v>2265</v>
      </c>
      <c r="C1185" s="585" t="s">
        <v>2265</v>
      </c>
    </row>
    <row r="1186" spans="1:3" x14ac:dyDescent="0.25">
      <c r="A1186" s="585">
        <v>28326</v>
      </c>
      <c r="B1186" s="585" t="s">
        <v>2266</v>
      </c>
      <c r="C1186" s="585" t="s">
        <v>2266</v>
      </c>
    </row>
    <row r="1187" spans="1:3" x14ac:dyDescent="0.25">
      <c r="A1187" s="585">
        <v>28336</v>
      </c>
      <c r="B1187" s="585" t="s">
        <v>2267</v>
      </c>
      <c r="C1187" s="585" t="s">
        <v>2268</v>
      </c>
    </row>
    <row r="1188" spans="1:3" x14ac:dyDescent="0.25">
      <c r="A1188" s="585">
        <v>28344</v>
      </c>
      <c r="B1188" s="585" t="s">
        <v>2269</v>
      </c>
      <c r="C1188" s="585" t="s">
        <v>2269</v>
      </c>
    </row>
    <row r="1189" spans="1:3" x14ac:dyDescent="0.25">
      <c r="A1189" s="585">
        <v>28352</v>
      </c>
      <c r="B1189" s="585" t="s">
        <v>2270</v>
      </c>
      <c r="C1189" s="585" t="s">
        <v>2271</v>
      </c>
    </row>
    <row r="1190" spans="1:3" x14ac:dyDescent="0.25">
      <c r="A1190" s="585">
        <v>28355</v>
      </c>
      <c r="B1190" s="585" t="s">
        <v>2272</v>
      </c>
      <c r="C1190" s="585" t="s">
        <v>2273</v>
      </c>
    </row>
    <row r="1191" spans="1:3" x14ac:dyDescent="0.25">
      <c r="A1191" s="585">
        <v>28360</v>
      </c>
      <c r="B1191" s="585" t="s">
        <v>2274</v>
      </c>
      <c r="C1191" s="585" t="s">
        <v>2275</v>
      </c>
    </row>
    <row r="1192" spans="1:3" x14ac:dyDescent="0.25">
      <c r="A1192" s="585">
        <v>28361</v>
      </c>
      <c r="B1192" s="585" t="s">
        <v>2276</v>
      </c>
      <c r="C1192" s="585" t="s">
        <v>1402</v>
      </c>
    </row>
    <row r="1193" spans="1:3" x14ac:dyDescent="0.25">
      <c r="A1193" s="585">
        <v>28366</v>
      </c>
      <c r="B1193" s="585" t="s">
        <v>2277</v>
      </c>
      <c r="C1193" s="585" t="s">
        <v>2278</v>
      </c>
    </row>
    <row r="1194" spans="1:3" x14ac:dyDescent="0.25">
      <c r="A1194" s="585">
        <v>28367</v>
      </c>
      <c r="B1194" s="585" t="s">
        <v>2279</v>
      </c>
      <c r="C1194" s="585" t="s">
        <v>2280</v>
      </c>
    </row>
    <row r="1195" spans="1:3" x14ac:dyDescent="0.25">
      <c r="A1195" s="585">
        <v>28380</v>
      </c>
      <c r="B1195" s="585" t="s">
        <v>2281</v>
      </c>
      <c r="C1195" s="585" t="s">
        <v>2282</v>
      </c>
    </row>
    <row r="1196" spans="1:3" x14ac:dyDescent="0.25">
      <c r="A1196" s="585">
        <v>28381</v>
      </c>
      <c r="B1196" s="585" t="s">
        <v>2283</v>
      </c>
      <c r="C1196" s="585" t="s">
        <v>2284</v>
      </c>
    </row>
    <row r="1197" spans="1:3" x14ac:dyDescent="0.25">
      <c r="A1197" s="585">
        <v>28388</v>
      </c>
      <c r="B1197" s="585" t="s">
        <v>2285</v>
      </c>
      <c r="C1197" s="585" t="s">
        <v>2286</v>
      </c>
    </row>
    <row r="1198" spans="1:3" x14ac:dyDescent="0.25">
      <c r="A1198" s="585">
        <v>28389</v>
      </c>
      <c r="B1198" s="585" t="s">
        <v>2287</v>
      </c>
      <c r="C1198" s="585" t="s">
        <v>2287</v>
      </c>
    </row>
    <row r="1199" spans="1:3" x14ac:dyDescent="0.25">
      <c r="A1199" s="585">
        <v>28392</v>
      </c>
      <c r="B1199" s="585" t="s">
        <v>2288</v>
      </c>
      <c r="C1199" s="585" t="s">
        <v>2288</v>
      </c>
    </row>
    <row r="1200" spans="1:3" x14ac:dyDescent="0.25">
      <c r="A1200" s="585">
        <v>28393</v>
      </c>
      <c r="B1200" s="585" t="s">
        <v>2289</v>
      </c>
      <c r="C1200" s="585" t="s">
        <v>2289</v>
      </c>
    </row>
    <row r="1201" spans="1:3" x14ac:dyDescent="0.25">
      <c r="A1201" s="585">
        <v>28395</v>
      </c>
      <c r="B1201" s="585" t="s">
        <v>2290</v>
      </c>
      <c r="C1201" s="585" t="s">
        <v>2290</v>
      </c>
    </row>
    <row r="1202" spans="1:3" x14ac:dyDescent="0.25">
      <c r="A1202" s="585">
        <v>28401</v>
      </c>
      <c r="B1202" s="585" t="s">
        <v>2291</v>
      </c>
      <c r="C1202" s="585" t="s">
        <v>2292</v>
      </c>
    </row>
    <row r="1203" spans="1:3" x14ac:dyDescent="0.25">
      <c r="A1203" s="585">
        <v>28424</v>
      </c>
      <c r="B1203" s="585" t="s">
        <v>2293</v>
      </c>
      <c r="C1203" s="585" t="s">
        <v>2293</v>
      </c>
    </row>
    <row r="1204" spans="1:3" x14ac:dyDescent="0.25">
      <c r="A1204" s="585">
        <v>28426</v>
      </c>
      <c r="B1204" s="585" t="s">
        <v>2294</v>
      </c>
      <c r="C1204" s="585" t="s">
        <v>2295</v>
      </c>
    </row>
    <row r="1205" spans="1:3" x14ac:dyDescent="0.25">
      <c r="A1205" s="585">
        <v>28430</v>
      </c>
      <c r="B1205" s="585" t="s">
        <v>2296</v>
      </c>
      <c r="C1205" s="585" t="s">
        <v>2296</v>
      </c>
    </row>
    <row r="1206" spans="1:3" x14ac:dyDescent="0.25">
      <c r="A1206" s="585">
        <v>28431</v>
      </c>
      <c r="B1206" s="585" t="s">
        <v>1962</v>
      </c>
      <c r="C1206" s="585" t="s">
        <v>1962</v>
      </c>
    </row>
    <row r="1207" spans="1:3" x14ac:dyDescent="0.25">
      <c r="A1207" s="585">
        <v>28444</v>
      </c>
      <c r="B1207" s="585" t="s">
        <v>2297</v>
      </c>
      <c r="C1207" s="585" t="s">
        <v>2298</v>
      </c>
    </row>
    <row r="1208" spans="1:3" x14ac:dyDescent="0.25">
      <c r="A1208" s="585">
        <v>28446</v>
      </c>
      <c r="B1208" s="585" t="s">
        <v>2299</v>
      </c>
      <c r="C1208" s="585" t="s">
        <v>2300</v>
      </c>
    </row>
    <row r="1209" spans="1:3" x14ac:dyDescent="0.25">
      <c r="A1209" s="585">
        <v>28447</v>
      </c>
      <c r="B1209" s="585" t="s">
        <v>2301</v>
      </c>
      <c r="C1209" s="585" t="s">
        <v>2302</v>
      </c>
    </row>
    <row r="1210" spans="1:3" x14ac:dyDescent="0.25">
      <c r="A1210" s="585">
        <v>28458</v>
      </c>
      <c r="B1210" s="585" t="s">
        <v>2303</v>
      </c>
      <c r="C1210" s="585" t="s">
        <v>2304</v>
      </c>
    </row>
    <row r="1211" spans="1:3" x14ac:dyDescent="0.25">
      <c r="A1211" s="585">
        <v>28462</v>
      </c>
      <c r="B1211" s="585" t="s">
        <v>2305</v>
      </c>
      <c r="C1211" s="585" t="s">
        <v>2306</v>
      </c>
    </row>
    <row r="1212" spans="1:3" x14ac:dyDescent="0.25">
      <c r="A1212" s="585">
        <v>28477</v>
      </c>
      <c r="B1212" s="585" t="s">
        <v>2307</v>
      </c>
      <c r="C1212" s="585" t="s">
        <v>2308</v>
      </c>
    </row>
    <row r="1213" spans="1:3" x14ac:dyDescent="0.25">
      <c r="A1213" s="585">
        <v>28478</v>
      </c>
      <c r="B1213" s="585" t="s">
        <v>2309</v>
      </c>
      <c r="C1213" s="585" t="s">
        <v>2310</v>
      </c>
    </row>
    <row r="1214" spans="1:3" x14ac:dyDescent="0.25">
      <c r="A1214" s="585">
        <v>28479</v>
      </c>
      <c r="B1214" s="585" t="s">
        <v>2311</v>
      </c>
      <c r="C1214" s="585" t="s">
        <v>2312</v>
      </c>
    </row>
    <row r="1215" spans="1:3" x14ac:dyDescent="0.25">
      <c r="A1215" s="585">
        <v>28481</v>
      </c>
      <c r="B1215" s="585" t="s">
        <v>2313</v>
      </c>
      <c r="C1215" s="585" t="s">
        <v>2313</v>
      </c>
    </row>
    <row r="1216" spans="1:3" x14ac:dyDescent="0.25">
      <c r="A1216" s="585">
        <v>28482</v>
      </c>
      <c r="B1216" s="585" t="s">
        <v>3473</v>
      </c>
      <c r="C1216" s="585" t="s">
        <v>3473</v>
      </c>
    </row>
    <row r="1217" spans="1:3" x14ac:dyDescent="0.25">
      <c r="A1217" s="585">
        <v>28500</v>
      </c>
      <c r="B1217" s="585" t="s">
        <v>2314</v>
      </c>
      <c r="C1217" s="585" t="s">
        <v>2315</v>
      </c>
    </row>
    <row r="1218" spans="1:3" x14ac:dyDescent="0.25">
      <c r="A1218" s="585">
        <v>28510</v>
      </c>
      <c r="B1218" s="585" t="s">
        <v>2316</v>
      </c>
      <c r="C1218" s="585" t="s">
        <v>2317</v>
      </c>
    </row>
    <row r="1219" spans="1:3" x14ac:dyDescent="0.25">
      <c r="A1219" s="585">
        <v>28528</v>
      </c>
      <c r="B1219" s="585" t="s">
        <v>2318</v>
      </c>
      <c r="C1219" s="585" t="s">
        <v>2318</v>
      </c>
    </row>
    <row r="1220" spans="1:3" x14ac:dyDescent="0.25">
      <c r="A1220" s="585">
        <v>28529</v>
      </c>
      <c r="B1220" s="585" t="s">
        <v>2319</v>
      </c>
      <c r="C1220" s="585" t="s">
        <v>2319</v>
      </c>
    </row>
    <row r="1221" spans="1:3" x14ac:dyDescent="0.25">
      <c r="A1221" s="585">
        <v>28530</v>
      </c>
      <c r="B1221" s="585" t="s">
        <v>2320</v>
      </c>
      <c r="C1221" s="585" t="s">
        <v>2320</v>
      </c>
    </row>
    <row r="1222" spans="1:3" x14ac:dyDescent="0.25">
      <c r="A1222" s="585">
        <v>28531</v>
      </c>
      <c r="B1222" s="585" t="s">
        <v>2321</v>
      </c>
      <c r="C1222" s="585" t="s">
        <v>2321</v>
      </c>
    </row>
    <row r="1223" spans="1:3" x14ac:dyDescent="0.25">
      <c r="A1223" s="585">
        <v>28532</v>
      </c>
      <c r="B1223" s="585" t="s">
        <v>2322</v>
      </c>
      <c r="C1223" s="585" t="s">
        <v>2322</v>
      </c>
    </row>
    <row r="1224" spans="1:3" x14ac:dyDescent="0.25">
      <c r="A1224" s="585">
        <v>28533</v>
      </c>
      <c r="B1224" s="585" t="s">
        <v>2323</v>
      </c>
      <c r="C1224" s="585" t="s">
        <v>2323</v>
      </c>
    </row>
    <row r="1225" spans="1:3" x14ac:dyDescent="0.25">
      <c r="A1225" s="585">
        <v>28534</v>
      </c>
      <c r="B1225" s="585" t="s">
        <v>2324</v>
      </c>
      <c r="C1225" s="585" t="s">
        <v>2324</v>
      </c>
    </row>
    <row r="1226" spans="1:3" x14ac:dyDescent="0.25">
      <c r="A1226" s="585">
        <v>28535</v>
      </c>
      <c r="B1226" s="585" t="s">
        <v>2325</v>
      </c>
      <c r="C1226" s="585" t="s">
        <v>2326</v>
      </c>
    </row>
    <row r="1227" spans="1:3" x14ac:dyDescent="0.25">
      <c r="A1227" s="585">
        <v>28536</v>
      </c>
      <c r="B1227" s="585" t="s">
        <v>2327</v>
      </c>
      <c r="C1227" s="585" t="s">
        <v>2328</v>
      </c>
    </row>
    <row r="1228" spans="1:3" x14ac:dyDescent="0.25">
      <c r="A1228" s="585">
        <v>28537</v>
      </c>
      <c r="B1228" s="585" t="s">
        <v>2329</v>
      </c>
      <c r="C1228" s="585" t="s">
        <v>2330</v>
      </c>
    </row>
    <row r="1229" spans="1:3" x14ac:dyDescent="0.25">
      <c r="A1229" s="585">
        <v>28538</v>
      </c>
      <c r="B1229" s="585" t="s">
        <v>2331</v>
      </c>
      <c r="C1229" s="585" t="s">
        <v>2332</v>
      </c>
    </row>
    <row r="1230" spans="1:3" x14ac:dyDescent="0.25">
      <c r="A1230" s="585">
        <v>28539</v>
      </c>
      <c r="B1230" s="585" t="s">
        <v>2333</v>
      </c>
      <c r="C1230" s="585" t="s">
        <v>2333</v>
      </c>
    </row>
    <row r="1231" spans="1:3" x14ac:dyDescent="0.25">
      <c r="A1231" s="585">
        <v>28540</v>
      </c>
      <c r="B1231" s="585" t="s">
        <v>2334</v>
      </c>
      <c r="C1231" s="585" t="s">
        <v>2335</v>
      </c>
    </row>
    <row r="1232" spans="1:3" x14ac:dyDescent="0.25">
      <c r="A1232" s="585">
        <v>28541</v>
      </c>
      <c r="B1232" s="585" t="s">
        <v>2336</v>
      </c>
      <c r="C1232" s="585" t="s">
        <v>2337</v>
      </c>
    </row>
    <row r="1233" spans="1:3" x14ac:dyDescent="0.25">
      <c r="A1233" s="585">
        <v>28542</v>
      </c>
      <c r="B1233" s="585" t="s">
        <v>2338</v>
      </c>
      <c r="C1233" s="585" t="s">
        <v>2339</v>
      </c>
    </row>
    <row r="1234" spans="1:3" x14ac:dyDescent="0.25">
      <c r="A1234" s="585">
        <v>28543</v>
      </c>
      <c r="B1234" s="585" t="s">
        <v>2340</v>
      </c>
      <c r="C1234" s="585" t="s">
        <v>2341</v>
      </c>
    </row>
    <row r="1235" spans="1:3" x14ac:dyDescent="0.25">
      <c r="A1235" s="585">
        <v>28558</v>
      </c>
      <c r="B1235" s="585" t="s">
        <v>2342</v>
      </c>
      <c r="C1235" s="585" t="s">
        <v>2342</v>
      </c>
    </row>
    <row r="1236" spans="1:3" x14ac:dyDescent="0.25">
      <c r="A1236" s="585">
        <v>28562</v>
      </c>
      <c r="B1236" s="585" t="s">
        <v>2343</v>
      </c>
      <c r="C1236" s="585" t="s">
        <v>1230</v>
      </c>
    </row>
    <row r="1237" spans="1:3" x14ac:dyDescent="0.25">
      <c r="A1237" s="585">
        <v>28564</v>
      </c>
      <c r="B1237" s="585" t="s">
        <v>2344</v>
      </c>
      <c r="C1237" s="585" t="s">
        <v>2345</v>
      </c>
    </row>
    <row r="1238" spans="1:3" x14ac:dyDescent="0.25">
      <c r="A1238" s="585">
        <v>28569</v>
      </c>
      <c r="B1238" s="585" t="s">
        <v>2346</v>
      </c>
      <c r="C1238" s="585" t="s">
        <v>2347</v>
      </c>
    </row>
    <row r="1239" spans="1:3" x14ac:dyDescent="0.25">
      <c r="A1239" s="585">
        <v>28570</v>
      </c>
      <c r="B1239" s="585" t="s">
        <v>2348</v>
      </c>
      <c r="C1239" s="585" t="s">
        <v>2349</v>
      </c>
    </row>
    <row r="1240" spans="1:3" x14ac:dyDescent="0.25">
      <c r="A1240" s="585">
        <v>28572</v>
      </c>
      <c r="B1240" s="585" t="s">
        <v>2350</v>
      </c>
      <c r="C1240" s="585" t="s">
        <v>2351</v>
      </c>
    </row>
    <row r="1241" spans="1:3" x14ac:dyDescent="0.25">
      <c r="A1241" s="585">
        <v>28580</v>
      </c>
      <c r="B1241" s="585" t="s">
        <v>2352</v>
      </c>
      <c r="C1241" s="585" t="s">
        <v>2353</v>
      </c>
    </row>
    <row r="1242" spans="1:3" x14ac:dyDescent="0.25">
      <c r="A1242" s="585">
        <v>28581</v>
      </c>
      <c r="B1242" s="585" t="s">
        <v>2354</v>
      </c>
      <c r="C1242" s="585" t="s">
        <v>2355</v>
      </c>
    </row>
    <row r="1243" spans="1:3" x14ac:dyDescent="0.25">
      <c r="A1243" s="585">
        <v>28584</v>
      </c>
      <c r="B1243" s="585" t="s">
        <v>2356</v>
      </c>
      <c r="C1243" s="585" t="s">
        <v>2356</v>
      </c>
    </row>
    <row r="1244" spans="1:3" x14ac:dyDescent="0.25">
      <c r="A1244" s="585">
        <v>28585</v>
      </c>
      <c r="B1244" s="585" t="s">
        <v>2357</v>
      </c>
      <c r="C1244" s="585" t="s">
        <v>2358</v>
      </c>
    </row>
    <row r="1245" spans="1:3" x14ac:dyDescent="0.25">
      <c r="A1245" s="585">
        <v>28592</v>
      </c>
      <c r="B1245" s="585" t="s">
        <v>2359</v>
      </c>
      <c r="C1245" s="585" t="s">
        <v>2360</v>
      </c>
    </row>
    <row r="1246" spans="1:3" x14ac:dyDescent="0.25">
      <c r="A1246" s="585">
        <v>28596</v>
      </c>
      <c r="B1246" s="585" t="s">
        <v>2361</v>
      </c>
      <c r="C1246" s="585" t="s">
        <v>2361</v>
      </c>
    </row>
    <row r="1247" spans="1:3" x14ac:dyDescent="0.25">
      <c r="A1247" s="585">
        <v>28600</v>
      </c>
      <c r="B1247" s="585" t="s">
        <v>2362</v>
      </c>
      <c r="C1247" s="585" t="s">
        <v>2362</v>
      </c>
    </row>
    <row r="1248" spans="1:3" x14ac:dyDescent="0.25">
      <c r="A1248" s="585">
        <v>28605</v>
      </c>
      <c r="B1248" s="585" t="s">
        <v>2363</v>
      </c>
      <c r="C1248" s="585" t="s">
        <v>2363</v>
      </c>
    </row>
    <row r="1249" spans="1:3" x14ac:dyDescent="0.25">
      <c r="A1249" s="585">
        <v>28607</v>
      </c>
      <c r="B1249" s="585" t="s">
        <v>2364</v>
      </c>
      <c r="C1249" s="585" t="s">
        <v>2365</v>
      </c>
    </row>
    <row r="1250" spans="1:3" x14ac:dyDescent="0.25">
      <c r="A1250" s="585">
        <v>28612</v>
      </c>
      <c r="B1250" s="585" t="s">
        <v>2366</v>
      </c>
      <c r="C1250" s="585" t="s">
        <v>2367</v>
      </c>
    </row>
    <row r="1251" spans="1:3" x14ac:dyDescent="0.25">
      <c r="A1251" s="585">
        <v>28615</v>
      </c>
      <c r="B1251" s="585" t="s">
        <v>2368</v>
      </c>
      <c r="C1251" s="585" t="s">
        <v>2369</v>
      </c>
    </row>
    <row r="1252" spans="1:3" x14ac:dyDescent="0.25">
      <c r="A1252" s="585">
        <v>28618</v>
      </c>
      <c r="B1252" s="585" t="s">
        <v>2370</v>
      </c>
      <c r="C1252" s="585" t="s">
        <v>2371</v>
      </c>
    </row>
    <row r="1253" spans="1:3" x14ac:dyDescent="0.25">
      <c r="A1253" s="585">
        <v>28620</v>
      </c>
      <c r="B1253" s="585" t="s">
        <v>2372</v>
      </c>
      <c r="C1253" s="585" t="s">
        <v>2373</v>
      </c>
    </row>
    <row r="1254" spans="1:3" x14ac:dyDescent="0.25">
      <c r="A1254" s="585">
        <v>28630</v>
      </c>
      <c r="B1254" s="585" t="s">
        <v>2374</v>
      </c>
      <c r="C1254" s="585" t="s">
        <v>2374</v>
      </c>
    </row>
    <row r="1255" spans="1:3" x14ac:dyDescent="0.25">
      <c r="A1255" s="585">
        <v>28646</v>
      </c>
      <c r="B1255" s="585" t="s">
        <v>2375</v>
      </c>
      <c r="C1255" s="585" t="s">
        <v>2375</v>
      </c>
    </row>
    <row r="1256" spans="1:3" x14ac:dyDescent="0.25">
      <c r="A1256" s="585">
        <v>28648</v>
      </c>
      <c r="B1256" s="585" t="s">
        <v>2376</v>
      </c>
      <c r="C1256" s="585" t="s">
        <v>2377</v>
      </c>
    </row>
    <row r="1257" spans="1:3" x14ac:dyDescent="0.25">
      <c r="A1257" s="585">
        <v>28651</v>
      </c>
      <c r="B1257" s="585" t="s">
        <v>2378</v>
      </c>
      <c r="C1257" s="585" t="s">
        <v>2378</v>
      </c>
    </row>
    <row r="1258" spans="1:3" x14ac:dyDescent="0.25">
      <c r="A1258" s="585">
        <v>28652</v>
      </c>
      <c r="B1258" s="585" t="s">
        <v>2379</v>
      </c>
      <c r="C1258" s="585" t="s">
        <v>2379</v>
      </c>
    </row>
    <row r="1259" spans="1:3" x14ac:dyDescent="0.25">
      <c r="A1259" s="585">
        <v>28653</v>
      </c>
      <c r="B1259" s="585" t="s">
        <v>2380</v>
      </c>
      <c r="C1259" s="585" t="s">
        <v>2381</v>
      </c>
    </row>
    <row r="1260" spans="1:3" x14ac:dyDescent="0.25">
      <c r="A1260" s="585">
        <v>28654</v>
      </c>
      <c r="B1260" s="585" t="s">
        <v>2382</v>
      </c>
      <c r="C1260" s="585" t="s">
        <v>2383</v>
      </c>
    </row>
    <row r="1261" spans="1:3" x14ac:dyDescent="0.25">
      <c r="A1261" s="585">
        <v>28655</v>
      </c>
      <c r="B1261" s="585" t="s">
        <v>2384</v>
      </c>
      <c r="C1261" s="585" t="s">
        <v>2384</v>
      </c>
    </row>
    <row r="1262" spans="1:3" x14ac:dyDescent="0.25">
      <c r="A1262" s="585">
        <v>28660</v>
      </c>
      <c r="B1262" s="585" t="s">
        <v>2385</v>
      </c>
      <c r="C1262" s="585" t="s">
        <v>2385</v>
      </c>
    </row>
    <row r="1263" spans="1:3" x14ac:dyDescent="0.25">
      <c r="A1263" s="585">
        <v>28670</v>
      </c>
      <c r="B1263" s="585" t="s">
        <v>2386</v>
      </c>
      <c r="C1263" s="585" t="s">
        <v>2387</v>
      </c>
    </row>
    <row r="1264" spans="1:3" x14ac:dyDescent="0.25">
      <c r="A1264" s="585">
        <v>28671</v>
      </c>
      <c r="B1264" s="585" t="s">
        <v>2388</v>
      </c>
      <c r="C1264" s="585" t="s">
        <v>2389</v>
      </c>
    </row>
    <row r="1265" spans="1:3" x14ac:dyDescent="0.25">
      <c r="A1265" s="585">
        <v>28672</v>
      </c>
      <c r="B1265" s="585" t="s">
        <v>2390</v>
      </c>
      <c r="C1265" s="585" t="s">
        <v>2391</v>
      </c>
    </row>
    <row r="1266" spans="1:3" x14ac:dyDescent="0.25">
      <c r="A1266" s="585">
        <v>28673</v>
      </c>
      <c r="B1266" s="585" t="s">
        <v>2392</v>
      </c>
      <c r="C1266" s="585" t="s">
        <v>2393</v>
      </c>
    </row>
    <row r="1267" spans="1:3" x14ac:dyDescent="0.25">
      <c r="A1267" s="585">
        <v>28674</v>
      </c>
      <c r="B1267" s="585" t="s">
        <v>2394</v>
      </c>
      <c r="C1267" s="585" t="s">
        <v>2394</v>
      </c>
    </row>
    <row r="1268" spans="1:3" x14ac:dyDescent="0.25">
      <c r="A1268" s="585">
        <v>28681</v>
      </c>
      <c r="B1268" s="585" t="s">
        <v>2395</v>
      </c>
      <c r="C1268" s="585" t="s">
        <v>2395</v>
      </c>
    </row>
    <row r="1269" spans="1:3" x14ac:dyDescent="0.25">
      <c r="A1269" s="585">
        <v>28688</v>
      </c>
      <c r="B1269" s="585" t="s">
        <v>2396</v>
      </c>
      <c r="C1269" s="585" t="s">
        <v>2397</v>
      </c>
    </row>
    <row r="1270" spans="1:3" x14ac:dyDescent="0.25">
      <c r="A1270" s="585">
        <v>28690</v>
      </c>
      <c r="B1270" s="585" t="s">
        <v>2398</v>
      </c>
      <c r="C1270" s="585" t="s">
        <v>2399</v>
      </c>
    </row>
    <row r="1271" spans="1:3" x14ac:dyDescent="0.25">
      <c r="A1271" s="585">
        <v>28694</v>
      </c>
      <c r="B1271" s="585" t="s">
        <v>2400</v>
      </c>
      <c r="C1271" s="585" t="s">
        <v>2400</v>
      </c>
    </row>
    <row r="1272" spans="1:3" x14ac:dyDescent="0.25">
      <c r="A1272" s="585">
        <v>28696</v>
      </c>
      <c r="B1272" s="585" t="s">
        <v>2401</v>
      </c>
      <c r="C1272" s="585" t="s">
        <v>2401</v>
      </c>
    </row>
    <row r="1273" spans="1:3" x14ac:dyDescent="0.25">
      <c r="A1273" s="585">
        <v>28706</v>
      </c>
      <c r="B1273" s="585" t="s">
        <v>2402</v>
      </c>
      <c r="C1273" s="585" t="s">
        <v>2402</v>
      </c>
    </row>
    <row r="1274" spans="1:3" x14ac:dyDescent="0.25">
      <c r="A1274" s="585">
        <v>28707</v>
      </c>
      <c r="B1274" s="585" t="s">
        <v>2403</v>
      </c>
      <c r="C1274" s="585" t="s">
        <v>2403</v>
      </c>
    </row>
    <row r="1275" spans="1:3" x14ac:dyDescent="0.25">
      <c r="A1275" s="585">
        <v>28708</v>
      </c>
      <c r="B1275" s="585" t="s">
        <v>2404</v>
      </c>
      <c r="C1275" s="585" t="s">
        <v>2405</v>
      </c>
    </row>
    <row r="1276" spans="1:3" x14ac:dyDescent="0.25">
      <c r="A1276" s="585">
        <v>28712</v>
      </c>
      <c r="B1276" s="585" t="s">
        <v>2406</v>
      </c>
      <c r="C1276" s="585" t="s">
        <v>2407</v>
      </c>
    </row>
    <row r="1277" spans="1:3" x14ac:dyDescent="0.25">
      <c r="A1277" s="585">
        <v>28715</v>
      </c>
      <c r="B1277" s="585" t="s">
        <v>2408</v>
      </c>
      <c r="C1277" s="585" t="s">
        <v>2408</v>
      </c>
    </row>
    <row r="1278" spans="1:3" x14ac:dyDescent="0.25">
      <c r="A1278" s="585">
        <v>28719</v>
      </c>
      <c r="B1278" s="585" t="s">
        <v>2409</v>
      </c>
      <c r="C1278" s="585" t="s">
        <v>2409</v>
      </c>
    </row>
    <row r="1279" spans="1:3" x14ac:dyDescent="0.25">
      <c r="A1279" s="585">
        <v>28724</v>
      </c>
      <c r="B1279" s="585" t="s">
        <v>2410</v>
      </c>
      <c r="C1279" s="585" t="s">
        <v>2410</v>
      </c>
    </row>
    <row r="1280" spans="1:3" x14ac:dyDescent="0.25">
      <c r="A1280" s="585">
        <v>28725</v>
      </c>
      <c r="B1280" s="585" t="s">
        <v>2411</v>
      </c>
      <c r="C1280" s="585" t="s">
        <v>2411</v>
      </c>
    </row>
    <row r="1281" spans="1:3" x14ac:dyDescent="0.25">
      <c r="A1281" s="585">
        <v>28730</v>
      </c>
      <c r="B1281" s="585" t="s">
        <v>2412</v>
      </c>
      <c r="C1281" s="585" t="s">
        <v>2412</v>
      </c>
    </row>
    <row r="1282" spans="1:3" x14ac:dyDescent="0.25">
      <c r="A1282" s="585">
        <v>28731</v>
      </c>
      <c r="B1282" s="585" t="s">
        <v>2413</v>
      </c>
      <c r="C1282" s="585" t="s">
        <v>2414</v>
      </c>
    </row>
    <row r="1283" spans="1:3" x14ac:dyDescent="0.25">
      <c r="A1283" s="585">
        <v>28734</v>
      </c>
      <c r="B1283" s="585" t="s">
        <v>2415</v>
      </c>
      <c r="C1283" s="585" t="s">
        <v>2416</v>
      </c>
    </row>
    <row r="1284" spans="1:3" x14ac:dyDescent="0.25">
      <c r="A1284" s="585">
        <v>28735</v>
      </c>
      <c r="B1284" s="585" t="s">
        <v>2417</v>
      </c>
      <c r="C1284" s="585" t="s">
        <v>2418</v>
      </c>
    </row>
    <row r="1285" spans="1:3" x14ac:dyDescent="0.25">
      <c r="A1285" s="585">
        <v>28737</v>
      </c>
      <c r="B1285" s="585" t="s">
        <v>2419</v>
      </c>
      <c r="C1285" s="585" t="s">
        <v>2420</v>
      </c>
    </row>
    <row r="1286" spans="1:3" x14ac:dyDescent="0.25">
      <c r="A1286" s="585">
        <v>28738</v>
      </c>
      <c r="B1286" s="585" t="s">
        <v>2421</v>
      </c>
      <c r="C1286" s="585" t="s">
        <v>2422</v>
      </c>
    </row>
    <row r="1287" spans="1:3" x14ac:dyDescent="0.25">
      <c r="A1287" s="585">
        <v>28740</v>
      </c>
      <c r="B1287" s="585" t="s">
        <v>2423</v>
      </c>
      <c r="C1287" s="585" t="s">
        <v>2424</v>
      </c>
    </row>
    <row r="1288" spans="1:3" x14ac:dyDescent="0.25">
      <c r="A1288" s="585">
        <v>28742</v>
      </c>
      <c r="B1288" s="585" t="s">
        <v>2425</v>
      </c>
      <c r="C1288" s="585" t="s">
        <v>2426</v>
      </c>
    </row>
    <row r="1289" spans="1:3" x14ac:dyDescent="0.25">
      <c r="A1289" s="585">
        <v>28745</v>
      </c>
      <c r="B1289" s="585" t="s">
        <v>2427</v>
      </c>
      <c r="C1289" s="585" t="s">
        <v>1331</v>
      </c>
    </row>
    <row r="1290" spans="1:3" x14ac:dyDescent="0.25">
      <c r="A1290" s="585">
        <v>28747</v>
      </c>
      <c r="B1290" s="585" t="s">
        <v>2036</v>
      </c>
      <c r="C1290" s="585" t="s">
        <v>2036</v>
      </c>
    </row>
    <row r="1291" spans="1:3" x14ac:dyDescent="0.25">
      <c r="A1291" s="585">
        <v>28748</v>
      </c>
      <c r="B1291" s="585" t="s">
        <v>2428</v>
      </c>
      <c r="C1291" s="585" t="s">
        <v>2428</v>
      </c>
    </row>
    <row r="1292" spans="1:3" x14ac:dyDescent="0.25">
      <c r="A1292" s="585">
        <v>28749</v>
      </c>
      <c r="B1292" s="585" t="s">
        <v>2429</v>
      </c>
      <c r="C1292" s="585" t="s">
        <v>2418</v>
      </c>
    </row>
    <row r="1293" spans="1:3" x14ac:dyDescent="0.25">
      <c r="A1293" s="585">
        <v>28750</v>
      </c>
      <c r="B1293" s="585" t="s">
        <v>2430</v>
      </c>
      <c r="C1293" s="585" t="s">
        <v>2431</v>
      </c>
    </row>
    <row r="1294" spans="1:3" x14ac:dyDescent="0.25">
      <c r="A1294" s="585">
        <v>28752</v>
      </c>
      <c r="B1294" s="585" t="s">
        <v>2432</v>
      </c>
      <c r="C1294" s="585" t="s">
        <v>2433</v>
      </c>
    </row>
    <row r="1295" spans="1:3" x14ac:dyDescent="0.25">
      <c r="A1295" s="585">
        <v>28753</v>
      </c>
      <c r="B1295" s="585" t="s">
        <v>2434</v>
      </c>
      <c r="C1295" s="585" t="s">
        <v>2435</v>
      </c>
    </row>
    <row r="1296" spans="1:3" x14ac:dyDescent="0.25">
      <c r="A1296" s="585">
        <v>28754</v>
      </c>
      <c r="B1296" s="585" t="s">
        <v>2436</v>
      </c>
      <c r="C1296" s="585" t="s">
        <v>2436</v>
      </c>
    </row>
    <row r="1297" spans="1:3" x14ac:dyDescent="0.25">
      <c r="A1297" s="585">
        <v>28755</v>
      </c>
      <c r="B1297" s="585" t="s">
        <v>2437</v>
      </c>
      <c r="C1297" s="585" t="s">
        <v>2437</v>
      </c>
    </row>
    <row r="1298" spans="1:3" x14ac:dyDescent="0.25">
      <c r="A1298" s="585">
        <v>28761</v>
      </c>
      <c r="B1298" s="585" t="s">
        <v>2438</v>
      </c>
      <c r="C1298" s="585" t="s">
        <v>2119</v>
      </c>
    </row>
    <row r="1299" spans="1:3" x14ac:dyDescent="0.25">
      <c r="A1299" s="585">
        <v>28771</v>
      </c>
      <c r="B1299" s="585" t="s">
        <v>2439</v>
      </c>
      <c r="C1299" s="585" t="s">
        <v>2440</v>
      </c>
    </row>
    <row r="1300" spans="1:3" x14ac:dyDescent="0.25">
      <c r="A1300" s="585">
        <v>28772</v>
      </c>
      <c r="B1300" s="585" t="s">
        <v>2441</v>
      </c>
      <c r="C1300" s="585" t="s">
        <v>2442</v>
      </c>
    </row>
    <row r="1301" spans="1:3" x14ac:dyDescent="0.25">
      <c r="A1301" s="585">
        <v>28780</v>
      </c>
      <c r="B1301" s="585" t="s">
        <v>2443</v>
      </c>
      <c r="C1301" s="585" t="s">
        <v>2444</v>
      </c>
    </row>
    <row r="1302" spans="1:3" x14ac:dyDescent="0.25">
      <c r="A1302" s="585">
        <v>28781</v>
      </c>
      <c r="B1302" s="585" t="s">
        <v>2445</v>
      </c>
      <c r="C1302" s="585" t="s">
        <v>2446</v>
      </c>
    </row>
    <row r="1303" spans="1:3" x14ac:dyDescent="0.25">
      <c r="A1303" s="585">
        <v>28782</v>
      </c>
      <c r="B1303" s="585" t="s">
        <v>2447</v>
      </c>
      <c r="C1303" s="585" t="s">
        <v>2448</v>
      </c>
    </row>
    <row r="1304" spans="1:3" x14ac:dyDescent="0.25">
      <c r="A1304" s="585">
        <v>28783</v>
      </c>
      <c r="B1304" s="585" t="s">
        <v>2449</v>
      </c>
      <c r="C1304" s="585" t="s">
        <v>2449</v>
      </c>
    </row>
    <row r="1305" spans="1:3" x14ac:dyDescent="0.25">
      <c r="A1305" s="585">
        <v>28793</v>
      </c>
      <c r="B1305" s="585" t="s">
        <v>2450</v>
      </c>
      <c r="C1305" s="585" t="s">
        <v>2450</v>
      </c>
    </row>
    <row r="1306" spans="1:3" x14ac:dyDescent="0.25">
      <c r="A1306" s="585">
        <v>28796</v>
      </c>
      <c r="B1306" s="585" t="s">
        <v>2451</v>
      </c>
      <c r="C1306" s="585" t="s">
        <v>2452</v>
      </c>
    </row>
    <row r="1307" spans="1:3" x14ac:dyDescent="0.25">
      <c r="A1307" s="585">
        <v>28798</v>
      </c>
      <c r="B1307" s="585" t="s">
        <v>2453</v>
      </c>
      <c r="C1307" s="585" t="s">
        <v>2453</v>
      </c>
    </row>
    <row r="1308" spans="1:3" x14ac:dyDescent="0.25">
      <c r="A1308" s="585">
        <v>28800</v>
      </c>
      <c r="B1308" s="585" t="s">
        <v>2454</v>
      </c>
      <c r="C1308" s="585" t="s">
        <v>1253</v>
      </c>
    </row>
    <row r="1309" spans="1:3" x14ac:dyDescent="0.25">
      <c r="A1309" s="585">
        <v>28801</v>
      </c>
      <c r="B1309" s="585" t="s">
        <v>2455</v>
      </c>
      <c r="C1309" s="585" t="s">
        <v>2456</v>
      </c>
    </row>
    <row r="1310" spans="1:3" x14ac:dyDescent="0.25">
      <c r="A1310" s="585">
        <v>28802</v>
      </c>
      <c r="B1310" s="585" t="s">
        <v>2457</v>
      </c>
      <c r="C1310" s="585" t="s">
        <v>2458</v>
      </c>
    </row>
    <row r="1311" spans="1:3" x14ac:dyDescent="0.25">
      <c r="A1311" s="585">
        <v>28803</v>
      </c>
      <c r="B1311" s="585" t="s">
        <v>2459</v>
      </c>
      <c r="C1311" s="585" t="s">
        <v>2459</v>
      </c>
    </row>
    <row r="1312" spans="1:3" x14ac:dyDescent="0.25">
      <c r="A1312" s="585">
        <v>28804</v>
      </c>
      <c r="B1312" s="585" t="s">
        <v>2460</v>
      </c>
      <c r="C1312" s="585" t="s">
        <v>2460</v>
      </c>
    </row>
    <row r="1313" spans="1:3" x14ac:dyDescent="0.25">
      <c r="A1313" s="585">
        <v>28805</v>
      </c>
      <c r="B1313" s="585" t="s">
        <v>2461</v>
      </c>
      <c r="C1313" s="585" t="s">
        <v>2461</v>
      </c>
    </row>
    <row r="1314" spans="1:3" x14ac:dyDescent="0.25">
      <c r="A1314" s="585">
        <v>28806</v>
      </c>
      <c r="B1314" s="585" t="s">
        <v>2462</v>
      </c>
      <c r="C1314" s="585" t="s">
        <v>2463</v>
      </c>
    </row>
    <row r="1315" spans="1:3" x14ac:dyDescent="0.25">
      <c r="A1315" s="585">
        <v>28807</v>
      </c>
      <c r="B1315" s="585" t="s">
        <v>2464</v>
      </c>
      <c r="C1315" s="585" t="s">
        <v>2465</v>
      </c>
    </row>
    <row r="1316" spans="1:3" x14ac:dyDescent="0.25">
      <c r="A1316" s="585">
        <v>28817</v>
      </c>
      <c r="B1316" s="585" t="s">
        <v>2466</v>
      </c>
      <c r="C1316" s="585" t="s">
        <v>2467</v>
      </c>
    </row>
    <row r="1317" spans="1:3" x14ac:dyDescent="0.25">
      <c r="A1317" s="585">
        <v>28819</v>
      </c>
      <c r="B1317" s="585" t="s">
        <v>2468</v>
      </c>
      <c r="C1317" s="585" t="s">
        <v>2469</v>
      </c>
    </row>
    <row r="1318" spans="1:3" x14ac:dyDescent="0.25">
      <c r="A1318" s="585">
        <v>28820</v>
      </c>
      <c r="B1318" s="585" t="s">
        <v>2470</v>
      </c>
      <c r="C1318" s="585" t="s">
        <v>2471</v>
      </c>
    </row>
    <row r="1319" spans="1:3" x14ac:dyDescent="0.25">
      <c r="A1319" s="585">
        <v>28821</v>
      </c>
      <c r="B1319" s="585" t="s">
        <v>2472</v>
      </c>
      <c r="C1319" s="585" t="s">
        <v>2473</v>
      </c>
    </row>
    <row r="1320" spans="1:3" x14ac:dyDescent="0.25">
      <c r="A1320" s="585">
        <v>28822</v>
      </c>
      <c r="B1320" s="585" t="s">
        <v>2474</v>
      </c>
      <c r="C1320" s="585" t="s">
        <v>2475</v>
      </c>
    </row>
    <row r="1321" spans="1:3" x14ac:dyDescent="0.25">
      <c r="A1321" s="585">
        <v>28823</v>
      </c>
      <c r="B1321" s="585" t="s">
        <v>1969</v>
      </c>
      <c r="C1321" s="585" t="s">
        <v>1969</v>
      </c>
    </row>
    <row r="1322" spans="1:3" x14ac:dyDescent="0.25">
      <c r="A1322" s="585">
        <v>28825</v>
      </c>
      <c r="B1322" s="585" t="s">
        <v>2476</v>
      </c>
      <c r="C1322" s="585" t="s">
        <v>2477</v>
      </c>
    </row>
    <row r="1323" spans="1:3" x14ac:dyDescent="0.25">
      <c r="A1323" s="585">
        <v>28829</v>
      </c>
      <c r="B1323" s="585" t="s">
        <v>2478</v>
      </c>
      <c r="C1323" s="585" t="s">
        <v>2478</v>
      </c>
    </row>
    <row r="1324" spans="1:3" x14ac:dyDescent="0.25">
      <c r="A1324" s="585">
        <v>28830</v>
      </c>
      <c r="B1324" s="585" t="s">
        <v>2479</v>
      </c>
      <c r="C1324" s="585" t="s">
        <v>2479</v>
      </c>
    </row>
    <row r="1325" spans="1:3" x14ac:dyDescent="0.25">
      <c r="A1325" s="585">
        <v>28831</v>
      </c>
      <c r="B1325" s="585" t="s">
        <v>2480</v>
      </c>
      <c r="C1325" s="585" t="s">
        <v>2480</v>
      </c>
    </row>
    <row r="1326" spans="1:3" x14ac:dyDescent="0.25">
      <c r="A1326" s="585">
        <v>28832</v>
      </c>
      <c r="B1326" s="585" t="s">
        <v>2481</v>
      </c>
      <c r="C1326" s="585" t="s">
        <v>2482</v>
      </c>
    </row>
    <row r="1327" spans="1:3" x14ac:dyDescent="0.25">
      <c r="A1327" s="585">
        <v>28833</v>
      </c>
      <c r="B1327" s="585" t="s">
        <v>2481</v>
      </c>
      <c r="C1327" s="585" t="s">
        <v>2483</v>
      </c>
    </row>
    <row r="1328" spans="1:3" x14ac:dyDescent="0.25">
      <c r="A1328" s="585">
        <v>28834</v>
      </c>
      <c r="B1328" s="585" t="s">
        <v>2484</v>
      </c>
      <c r="C1328" s="585" t="s">
        <v>2484</v>
      </c>
    </row>
    <row r="1329" spans="1:3" x14ac:dyDescent="0.25">
      <c r="A1329" s="585">
        <v>28835</v>
      </c>
      <c r="B1329" s="585" t="s">
        <v>2485</v>
      </c>
      <c r="C1329" s="585" t="s">
        <v>2486</v>
      </c>
    </row>
    <row r="1330" spans="1:3" x14ac:dyDescent="0.25">
      <c r="A1330" s="585">
        <v>28836</v>
      </c>
      <c r="B1330" s="585" t="s">
        <v>2487</v>
      </c>
      <c r="C1330" s="585" t="s">
        <v>2488</v>
      </c>
    </row>
    <row r="1331" spans="1:3" x14ac:dyDescent="0.25">
      <c r="A1331" s="585">
        <v>28837</v>
      </c>
      <c r="B1331" s="585" t="s">
        <v>2489</v>
      </c>
      <c r="C1331" s="585" t="s">
        <v>2489</v>
      </c>
    </row>
    <row r="1332" spans="1:3" x14ac:dyDescent="0.25">
      <c r="A1332" s="585">
        <v>28838</v>
      </c>
      <c r="B1332" s="585" t="s">
        <v>2490</v>
      </c>
      <c r="C1332" s="585" t="s">
        <v>2490</v>
      </c>
    </row>
    <row r="1333" spans="1:3" x14ac:dyDescent="0.25">
      <c r="A1333" s="585">
        <v>28840</v>
      </c>
      <c r="B1333" s="585" t="s">
        <v>2491</v>
      </c>
      <c r="C1333" s="585" t="s">
        <v>1312</v>
      </c>
    </row>
    <row r="1334" spans="1:3" x14ac:dyDescent="0.25">
      <c r="A1334" s="585">
        <v>28842</v>
      </c>
      <c r="B1334" s="585" t="s">
        <v>2492</v>
      </c>
      <c r="C1334" s="585" t="s">
        <v>2493</v>
      </c>
    </row>
    <row r="1335" spans="1:3" x14ac:dyDescent="0.25">
      <c r="A1335" s="585">
        <v>28844</v>
      </c>
      <c r="B1335" s="585" t="s">
        <v>1958</v>
      </c>
      <c r="C1335" s="585" t="s">
        <v>2494</v>
      </c>
    </row>
    <row r="1336" spans="1:3" x14ac:dyDescent="0.25">
      <c r="A1336" s="585">
        <v>28845</v>
      </c>
      <c r="B1336" s="585" t="s">
        <v>2495</v>
      </c>
      <c r="C1336" s="585" t="s">
        <v>2496</v>
      </c>
    </row>
    <row r="1337" spans="1:3" x14ac:dyDescent="0.25">
      <c r="A1337" s="585">
        <v>28846</v>
      </c>
      <c r="B1337" s="585" t="s">
        <v>2497</v>
      </c>
      <c r="C1337" s="585" t="s">
        <v>2497</v>
      </c>
    </row>
    <row r="1338" spans="1:3" x14ac:dyDescent="0.25">
      <c r="A1338" s="585">
        <v>28848</v>
      </c>
      <c r="B1338" s="585" t="s">
        <v>2498</v>
      </c>
      <c r="C1338" s="585" t="s">
        <v>2499</v>
      </c>
    </row>
    <row r="1339" spans="1:3" x14ac:dyDescent="0.25">
      <c r="A1339" s="585">
        <v>28849</v>
      </c>
      <c r="B1339" s="585" t="s">
        <v>3474</v>
      </c>
      <c r="C1339" s="585" t="s">
        <v>3474</v>
      </c>
    </row>
    <row r="1340" spans="1:3" x14ac:dyDescent="0.25">
      <c r="A1340" s="585">
        <v>28850</v>
      </c>
      <c r="B1340" s="585" t="s">
        <v>2500</v>
      </c>
      <c r="C1340" s="585" t="s">
        <v>2500</v>
      </c>
    </row>
    <row r="1341" spans="1:3" x14ac:dyDescent="0.25">
      <c r="A1341" s="585">
        <v>28852</v>
      </c>
      <c r="B1341" s="585" t="s">
        <v>2501</v>
      </c>
      <c r="C1341" s="585" t="s">
        <v>2501</v>
      </c>
    </row>
    <row r="1342" spans="1:3" x14ac:dyDescent="0.25">
      <c r="A1342" s="585">
        <v>28853</v>
      </c>
      <c r="B1342" s="585" t="s">
        <v>2502</v>
      </c>
      <c r="C1342" s="585" t="s">
        <v>2503</v>
      </c>
    </row>
    <row r="1343" spans="1:3" x14ac:dyDescent="0.25">
      <c r="A1343" s="585">
        <v>28855</v>
      </c>
      <c r="B1343" s="585" t="s">
        <v>2504</v>
      </c>
      <c r="C1343" s="585" t="s">
        <v>2505</v>
      </c>
    </row>
    <row r="1344" spans="1:3" x14ac:dyDescent="0.25">
      <c r="A1344" s="585">
        <v>28858</v>
      </c>
      <c r="B1344" s="585" t="s">
        <v>2506</v>
      </c>
      <c r="C1344" s="585" t="s">
        <v>2506</v>
      </c>
    </row>
    <row r="1345" spans="1:3" x14ac:dyDescent="0.25">
      <c r="A1345" s="585">
        <v>28859</v>
      </c>
      <c r="B1345" s="585" t="s">
        <v>2507</v>
      </c>
      <c r="C1345" s="585" t="s">
        <v>2507</v>
      </c>
    </row>
    <row r="1346" spans="1:3" x14ac:dyDescent="0.25">
      <c r="A1346" s="585">
        <v>28899</v>
      </c>
      <c r="B1346" s="585" t="s">
        <v>2508</v>
      </c>
      <c r="C1346" s="585" t="s">
        <v>2508</v>
      </c>
    </row>
    <row r="1347" spans="1:3" x14ac:dyDescent="0.25">
      <c r="A1347" s="585">
        <v>28917</v>
      </c>
      <c r="B1347" s="585" t="s">
        <v>2509</v>
      </c>
      <c r="C1347" s="585" t="s">
        <v>2510</v>
      </c>
    </row>
    <row r="1348" spans="1:3" x14ac:dyDescent="0.25">
      <c r="A1348" s="585">
        <v>28918</v>
      </c>
      <c r="B1348" s="585" t="s">
        <v>2511</v>
      </c>
      <c r="C1348" s="585" t="s">
        <v>2512</v>
      </c>
    </row>
    <row r="1349" spans="1:3" x14ac:dyDescent="0.25">
      <c r="A1349" s="585">
        <v>28921</v>
      </c>
      <c r="B1349" s="585" t="s">
        <v>2513</v>
      </c>
      <c r="C1349" s="585" t="s">
        <v>2514</v>
      </c>
    </row>
    <row r="1350" spans="1:3" x14ac:dyDescent="0.25">
      <c r="A1350" s="585">
        <v>28931</v>
      </c>
      <c r="B1350" s="585" t="s">
        <v>2515</v>
      </c>
      <c r="C1350" s="585" t="s">
        <v>2515</v>
      </c>
    </row>
    <row r="1351" spans="1:3" x14ac:dyDescent="0.25">
      <c r="A1351" s="585">
        <v>28933</v>
      </c>
      <c r="B1351" s="585" t="s">
        <v>2516</v>
      </c>
      <c r="C1351" s="585" t="s">
        <v>2516</v>
      </c>
    </row>
    <row r="1352" spans="1:3" x14ac:dyDescent="0.25">
      <c r="A1352" s="585">
        <v>28941</v>
      </c>
      <c r="B1352" s="585" t="s">
        <v>2517</v>
      </c>
      <c r="C1352" s="585" t="s">
        <v>2517</v>
      </c>
    </row>
    <row r="1353" spans="1:3" x14ac:dyDescent="0.25">
      <c r="A1353" s="585">
        <v>28957</v>
      </c>
      <c r="B1353" s="585" t="s">
        <v>2518</v>
      </c>
      <c r="C1353" s="585" t="s">
        <v>2519</v>
      </c>
    </row>
    <row r="1354" spans="1:3" x14ac:dyDescent="0.25">
      <c r="A1354" s="585">
        <v>28967</v>
      </c>
      <c r="B1354" s="585" t="s">
        <v>2520</v>
      </c>
      <c r="C1354" s="585" t="s">
        <v>2520</v>
      </c>
    </row>
    <row r="1355" spans="1:3" x14ac:dyDescent="0.25">
      <c r="A1355" s="585">
        <v>28968</v>
      </c>
      <c r="B1355" s="585" t="s">
        <v>2521</v>
      </c>
      <c r="C1355" s="585" t="s">
        <v>2522</v>
      </c>
    </row>
    <row r="1356" spans="1:3" x14ac:dyDescent="0.25">
      <c r="A1356" s="585">
        <v>28969</v>
      </c>
      <c r="B1356" s="585" t="s">
        <v>2523</v>
      </c>
      <c r="C1356" s="585" t="s">
        <v>2524</v>
      </c>
    </row>
    <row r="1357" spans="1:3" x14ac:dyDescent="0.25">
      <c r="A1357" s="585">
        <v>28971</v>
      </c>
      <c r="B1357" s="585" t="s">
        <v>2525</v>
      </c>
      <c r="C1357" s="585" t="s">
        <v>2525</v>
      </c>
    </row>
    <row r="1358" spans="1:3" x14ac:dyDescent="0.25">
      <c r="A1358" s="585">
        <v>28975</v>
      </c>
      <c r="B1358" s="585" t="s">
        <v>2526</v>
      </c>
      <c r="C1358" s="585" t="s">
        <v>2527</v>
      </c>
    </row>
    <row r="1359" spans="1:3" x14ac:dyDescent="0.25">
      <c r="A1359" s="585">
        <v>28986</v>
      </c>
      <c r="B1359" s="585" t="s">
        <v>2528</v>
      </c>
      <c r="C1359" s="585" t="s">
        <v>1996</v>
      </c>
    </row>
    <row r="1360" spans="1:3" x14ac:dyDescent="0.25">
      <c r="A1360" s="585">
        <v>28995</v>
      </c>
      <c r="B1360" s="585" t="s">
        <v>2529</v>
      </c>
      <c r="C1360" s="585" t="s">
        <v>2530</v>
      </c>
    </row>
    <row r="1361" spans="1:3" x14ac:dyDescent="0.25">
      <c r="A1361" s="585">
        <v>28996</v>
      </c>
      <c r="B1361" s="585" t="s">
        <v>2531</v>
      </c>
      <c r="C1361" s="585" t="s">
        <v>2532</v>
      </c>
    </row>
    <row r="1362" spans="1:3" x14ac:dyDescent="0.25">
      <c r="A1362" s="585">
        <v>28997</v>
      </c>
      <c r="B1362" s="585" t="s">
        <v>2533</v>
      </c>
      <c r="C1362" s="585" t="s">
        <v>2534</v>
      </c>
    </row>
    <row r="1363" spans="1:3" x14ac:dyDescent="0.25">
      <c r="A1363" s="585">
        <v>28999</v>
      </c>
      <c r="B1363" s="585" t="s">
        <v>2535</v>
      </c>
      <c r="C1363" s="585" t="s">
        <v>2536</v>
      </c>
    </row>
    <row r="1364" spans="1:3" x14ac:dyDescent="0.25">
      <c r="A1364" s="585">
        <v>29001</v>
      </c>
      <c r="B1364" s="585" t="s">
        <v>2537</v>
      </c>
      <c r="C1364" s="585" t="s">
        <v>2537</v>
      </c>
    </row>
    <row r="1365" spans="1:3" x14ac:dyDescent="0.25">
      <c r="A1365" s="585">
        <v>29002</v>
      </c>
      <c r="B1365" s="585" t="s">
        <v>2538</v>
      </c>
      <c r="C1365" s="585" t="s">
        <v>2538</v>
      </c>
    </row>
    <row r="1366" spans="1:3" x14ac:dyDescent="0.25">
      <c r="A1366" s="585">
        <v>29004</v>
      </c>
      <c r="B1366" s="585" t="s">
        <v>2539</v>
      </c>
      <c r="C1366" s="585" t="s">
        <v>2540</v>
      </c>
    </row>
    <row r="1367" spans="1:3" x14ac:dyDescent="0.25">
      <c r="A1367" s="585">
        <v>29011</v>
      </c>
      <c r="B1367" s="585" t="s">
        <v>2541</v>
      </c>
      <c r="C1367" s="585" t="s">
        <v>2541</v>
      </c>
    </row>
    <row r="1368" spans="1:3" x14ac:dyDescent="0.25">
      <c r="A1368" s="585">
        <v>29013</v>
      </c>
      <c r="B1368" s="585" t="s">
        <v>2075</v>
      </c>
      <c r="C1368" s="585" t="s">
        <v>2075</v>
      </c>
    </row>
    <row r="1369" spans="1:3" x14ac:dyDescent="0.25">
      <c r="A1369" s="585">
        <v>29015</v>
      </c>
      <c r="B1369" s="585" t="s">
        <v>2542</v>
      </c>
      <c r="C1369" s="585" t="s">
        <v>2542</v>
      </c>
    </row>
    <row r="1370" spans="1:3" x14ac:dyDescent="0.25">
      <c r="A1370" s="585">
        <v>29019</v>
      </c>
      <c r="B1370" s="585" t="s">
        <v>2543</v>
      </c>
      <c r="C1370" s="585" t="s">
        <v>2543</v>
      </c>
    </row>
    <row r="1371" spans="1:3" x14ac:dyDescent="0.25">
      <c r="A1371" s="585">
        <v>29022</v>
      </c>
      <c r="B1371" s="585" t="s">
        <v>2544</v>
      </c>
      <c r="C1371" s="585" t="s">
        <v>2545</v>
      </c>
    </row>
    <row r="1372" spans="1:3" x14ac:dyDescent="0.25">
      <c r="A1372" s="585">
        <v>29041</v>
      </c>
      <c r="B1372" s="585" t="s">
        <v>2546</v>
      </c>
      <c r="C1372" s="585" t="s">
        <v>2547</v>
      </c>
    </row>
    <row r="1373" spans="1:3" x14ac:dyDescent="0.25">
      <c r="A1373" s="585">
        <v>29048</v>
      </c>
      <c r="B1373" s="585" t="s">
        <v>2548</v>
      </c>
      <c r="C1373" s="585" t="s">
        <v>2549</v>
      </c>
    </row>
    <row r="1374" spans="1:3" x14ac:dyDescent="0.25">
      <c r="A1374" s="585">
        <v>29049</v>
      </c>
      <c r="B1374" s="585" t="s">
        <v>2550</v>
      </c>
      <c r="C1374" s="585" t="s">
        <v>2550</v>
      </c>
    </row>
    <row r="1375" spans="1:3" x14ac:dyDescent="0.25">
      <c r="A1375" s="585">
        <v>29050</v>
      </c>
      <c r="B1375" s="585" t="s">
        <v>2269</v>
      </c>
      <c r="C1375" s="585" t="s">
        <v>2269</v>
      </c>
    </row>
    <row r="1376" spans="1:3" x14ac:dyDescent="0.25">
      <c r="A1376" s="585">
        <v>29051</v>
      </c>
      <c r="B1376" s="585" t="s">
        <v>2551</v>
      </c>
      <c r="C1376" s="585" t="s">
        <v>2552</v>
      </c>
    </row>
    <row r="1377" spans="1:3" x14ac:dyDescent="0.25">
      <c r="A1377" s="585">
        <v>29052</v>
      </c>
      <c r="B1377" s="585" t="s">
        <v>2553</v>
      </c>
      <c r="C1377" s="585" t="s">
        <v>2554</v>
      </c>
    </row>
    <row r="1378" spans="1:3" x14ac:dyDescent="0.25">
      <c r="A1378" s="585">
        <v>29053</v>
      </c>
      <c r="B1378" s="585" t="s">
        <v>2555</v>
      </c>
      <c r="C1378" s="585" t="s">
        <v>2269</v>
      </c>
    </row>
    <row r="1379" spans="1:3" x14ac:dyDescent="0.25">
      <c r="A1379" s="585">
        <v>29054</v>
      </c>
      <c r="B1379" s="585" t="s">
        <v>2556</v>
      </c>
      <c r="C1379" s="585" t="s">
        <v>2557</v>
      </c>
    </row>
    <row r="1380" spans="1:3" x14ac:dyDescent="0.25">
      <c r="A1380" s="585">
        <v>29055</v>
      </c>
      <c r="B1380" s="585" t="s">
        <v>2558</v>
      </c>
      <c r="C1380" s="585" t="s">
        <v>2559</v>
      </c>
    </row>
    <row r="1381" spans="1:3" x14ac:dyDescent="0.25">
      <c r="A1381" s="585">
        <v>29056</v>
      </c>
      <c r="B1381" s="585" t="s">
        <v>2560</v>
      </c>
      <c r="C1381" s="585" t="s">
        <v>2092</v>
      </c>
    </row>
    <row r="1382" spans="1:3" x14ac:dyDescent="0.25">
      <c r="A1382" s="585">
        <v>29057</v>
      </c>
      <c r="B1382" s="585" t="s">
        <v>2561</v>
      </c>
      <c r="C1382" s="585" t="s">
        <v>2562</v>
      </c>
    </row>
    <row r="1383" spans="1:3" x14ac:dyDescent="0.25">
      <c r="A1383" s="585">
        <v>29058</v>
      </c>
      <c r="B1383" s="585" t="s">
        <v>2563</v>
      </c>
      <c r="C1383" s="585" t="s">
        <v>2564</v>
      </c>
    </row>
    <row r="1384" spans="1:3" x14ac:dyDescent="0.25">
      <c r="A1384" s="585">
        <v>29059</v>
      </c>
      <c r="B1384" s="585" t="s">
        <v>2565</v>
      </c>
      <c r="C1384" s="585" t="s">
        <v>2566</v>
      </c>
    </row>
    <row r="1385" spans="1:3" x14ac:dyDescent="0.25">
      <c r="A1385" s="585">
        <v>29060</v>
      </c>
      <c r="B1385" s="585" t="s">
        <v>2567</v>
      </c>
      <c r="C1385" s="585" t="s">
        <v>2568</v>
      </c>
    </row>
    <row r="1386" spans="1:3" x14ac:dyDescent="0.25">
      <c r="A1386" s="585">
        <v>29062</v>
      </c>
      <c r="B1386" s="585" t="s">
        <v>2569</v>
      </c>
      <c r="C1386" s="585" t="s">
        <v>2570</v>
      </c>
    </row>
    <row r="1387" spans="1:3" x14ac:dyDescent="0.25">
      <c r="A1387" s="585">
        <v>29063</v>
      </c>
      <c r="B1387" s="585" t="s">
        <v>2571</v>
      </c>
      <c r="C1387" s="585" t="s">
        <v>2572</v>
      </c>
    </row>
    <row r="1388" spans="1:3" x14ac:dyDescent="0.25">
      <c r="A1388" s="585">
        <v>29065</v>
      </c>
      <c r="B1388" s="585" t="s">
        <v>2573</v>
      </c>
      <c r="C1388" s="585" t="s">
        <v>2574</v>
      </c>
    </row>
    <row r="1389" spans="1:3" x14ac:dyDescent="0.25">
      <c r="A1389" s="585">
        <v>29067</v>
      </c>
      <c r="B1389" s="585" t="s">
        <v>2575</v>
      </c>
      <c r="C1389" s="585" t="s">
        <v>2576</v>
      </c>
    </row>
    <row r="1390" spans="1:3" x14ac:dyDescent="0.25">
      <c r="A1390" s="585">
        <v>29069</v>
      </c>
      <c r="B1390" s="585" t="s">
        <v>2577</v>
      </c>
      <c r="C1390" s="585" t="s">
        <v>2578</v>
      </c>
    </row>
    <row r="1391" spans="1:3" x14ac:dyDescent="0.25">
      <c r="A1391" s="585">
        <v>29070</v>
      </c>
      <c r="B1391" s="585" t="s">
        <v>2579</v>
      </c>
      <c r="C1391" s="585" t="s">
        <v>2580</v>
      </c>
    </row>
    <row r="1392" spans="1:3" x14ac:dyDescent="0.25">
      <c r="A1392" s="585">
        <v>29071</v>
      </c>
      <c r="B1392" s="585" t="s">
        <v>2581</v>
      </c>
      <c r="C1392" s="585" t="s">
        <v>2582</v>
      </c>
    </row>
    <row r="1393" spans="1:3" x14ac:dyDescent="0.25">
      <c r="A1393" s="585">
        <v>29072</v>
      </c>
      <c r="B1393" s="585" t="s">
        <v>2583</v>
      </c>
      <c r="C1393" s="585" t="s">
        <v>2584</v>
      </c>
    </row>
    <row r="1394" spans="1:3" x14ac:dyDescent="0.25">
      <c r="A1394" s="585">
        <v>29075</v>
      </c>
      <c r="B1394" s="585" t="s">
        <v>2585</v>
      </c>
      <c r="C1394" s="585" t="s">
        <v>2586</v>
      </c>
    </row>
    <row r="1395" spans="1:3" x14ac:dyDescent="0.25">
      <c r="A1395" s="585">
        <v>29077</v>
      </c>
      <c r="B1395" s="585" t="s">
        <v>2587</v>
      </c>
      <c r="C1395" s="585" t="s">
        <v>2587</v>
      </c>
    </row>
    <row r="1396" spans="1:3" x14ac:dyDescent="0.25">
      <c r="A1396" s="585">
        <v>29092</v>
      </c>
      <c r="B1396" s="585" t="s">
        <v>2588</v>
      </c>
      <c r="C1396" s="585" t="s">
        <v>2589</v>
      </c>
    </row>
    <row r="1397" spans="1:3" x14ac:dyDescent="0.25">
      <c r="A1397" s="585">
        <v>29111</v>
      </c>
      <c r="B1397" s="585" t="s">
        <v>2590</v>
      </c>
      <c r="C1397" s="585" t="s">
        <v>2590</v>
      </c>
    </row>
    <row r="1398" spans="1:3" x14ac:dyDescent="0.25">
      <c r="A1398" s="585">
        <v>29112</v>
      </c>
      <c r="B1398" s="585" t="s">
        <v>2591</v>
      </c>
      <c r="C1398" s="585" t="s">
        <v>2592</v>
      </c>
    </row>
    <row r="1399" spans="1:3" x14ac:dyDescent="0.25">
      <c r="A1399" s="585">
        <v>29113</v>
      </c>
      <c r="B1399" s="585" t="s">
        <v>1969</v>
      </c>
      <c r="C1399" s="585" t="s">
        <v>1969</v>
      </c>
    </row>
    <row r="1400" spans="1:3" x14ac:dyDescent="0.25">
      <c r="A1400" s="585">
        <v>29114</v>
      </c>
      <c r="B1400" s="585" t="s">
        <v>2593</v>
      </c>
      <c r="C1400" s="585" t="s">
        <v>2594</v>
      </c>
    </row>
    <row r="1401" spans="1:3" x14ac:dyDescent="0.25">
      <c r="A1401" s="585">
        <v>29115</v>
      </c>
      <c r="B1401" s="585" t="s">
        <v>2595</v>
      </c>
      <c r="C1401" s="585" t="s">
        <v>2596</v>
      </c>
    </row>
    <row r="1402" spans="1:3" x14ac:dyDescent="0.25">
      <c r="A1402" s="585">
        <v>29116</v>
      </c>
      <c r="B1402" s="585" t="s">
        <v>2597</v>
      </c>
      <c r="C1402" s="585" t="s">
        <v>2598</v>
      </c>
    </row>
    <row r="1403" spans="1:3" x14ac:dyDescent="0.25">
      <c r="A1403" s="585">
        <v>29118</v>
      </c>
      <c r="B1403" s="585" t="s">
        <v>2599</v>
      </c>
      <c r="C1403" s="585" t="s">
        <v>2600</v>
      </c>
    </row>
    <row r="1404" spans="1:3" x14ac:dyDescent="0.25">
      <c r="A1404" s="585">
        <v>29119</v>
      </c>
      <c r="B1404" s="585" t="s">
        <v>2601</v>
      </c>
      <c r="C1404" s="585" t="s">
        <v>2602</v>
      </c>
    </row>
    <row r="1405" spans="1:3" x14ac:dyDescent="0.25">
      <c r="A1405" s="585">
        <v>29120</v>
      </c>
      <c r="B1405" s="585" t="s">
        <v>2603</v>
      </c>
      <c r="C1405" s="585" t="s">
        <v>2603</v>
      </c>
    </row>
    <row r="1406" spans="1:3" x14ac:dyDescent="0.25">
      <c r="A1406" s="585">
        <v>29137</v>
      </c>
      <c r="B1406" s="585" t="s">
        <v>2604</v>
      </c>
      <c r="C1406" s="585" t="s">
        <v>2605</v>
      </c>
    </row>
    <row r="1407" spans="1:3" x14ac:dyDescent="0.25">
      <c r="A1407" s="585">
        <v>29138</v>
      </c>
      <c r="B1407" s="585" t="s">
        <v>2606</v>
      </c>
      <c r="C1407" s="585" t="s">
        <v>2607</v>
      </c>
    </row>
    <row r="1408" spans="1:3" x14ac:dyDescent="0.25">
      <c r="A1408" s="585">
        <v>29139</v>
      </c>
      <c r="B1408" s="585" t="s">
        <v>2608</v>
      </c>
      <c r="C1408" s="585" t="s">
        <v>2609</v>
      </c>
    </row>
    <row r="1409" spans="1:3" x14ac:dyDescent="0.25">
      <c r="A1409" s="585">
        <v>29140</v>
      </c>
      <c r="B1409" s="585" t="s">
        <v>2610</v>
      </c>
      <c r="C1409" s="585" t="s">
        <v>2611</v>
      </c>
    </row>
    <row r="1410" spans="1:3" x14ac:dyDescent="0.25">
      <c r="A1410" s="585">
        <v>29141</v>
      </c>
      <c r="B1410" s="585" t="s">
        <v>2612</v>
      </c>
      <c r="C1410" s="585" t="s">
        <v>2613</v>
      </c>
    </row>
    <row r="1411" spans="1:3" x14ac:dyDescent="0.25">
      <c r="A1411" s="585">
        <v>29144</v>
      </c>
      <c r="B1411" s="585" t="s">
        <v>2614</v>
      </c>
      <c r="C1411" s="585" t="s">
        <v>2615</v>
      </c>
    </row>
    <row r="1412" spans="1:3" x14ac:dyDescent="0.25">
      <c r="A1412" s="585">
        <v>29145</v>
      </c>
      <c r="B1412" s="585" t="s">
        <v>2616</v>
      </c>
      <c r="C1412" s="585" t="s">
        <v>2617</v>
      </c>
    </row>
    <row r="1413" spans="1:3" x14ac:dyDescent="0.25">
      <c r="A1413" s="585">
        <v>29148</v>
      </c>
      <c r="B1413" s="585" t="s">
        <v>2618</v>
      </c>
      <c r="C1413" s="585" t="s">
        <v>2619</v>
      </c>
    </row>
    <row r="1414" spans="1:3" x14ac:dyDescent="0.25">
      <c r="A1414" s="585">
        <v>29150</v>
      </c>
      <c r="B1414" s="585" t="s">
        <v>2620</v>
      </c>
      <c r="C1414" s="585" t="s">
        <v>2620</v>
      </c>
    </row>
    <row r="1415" spans="1:3" x14ac:dyDescent="0.25">
      <c r="A1415" s="585">
        <v>29152</v>
      </c>
      <c r="B1415" s="585" t="s">
        <v>2621</v>
      </c>
      <c r="C1415" s="585" t="s">
        <v>2621</v>
      </c>
    </row>
    <row r="1416" spans="1:3" x14ac:dyDescent="0.25">
      <c r="A1416" s="585">
        <v>29154</v>
      </c>
      <c r="B1416" s="585" t="s">
        <v>2622</v>
      </c>
      <c r="C1416" s="585" t="s">
        <v>2622</v>
      </c>
    </row>
    <row r="1417" spans="1:3" x14ac:dyDescent="0.25">
      <c r="A1417" s="585">
        <v>29159</v>
      </c>
      <c r="B1417" s="585" t="s">
        <v>2623</v>
      </c>
      <c r="C1417" s="585" t="s">
        <v>2623</v>
      </c>
    </row>
    <row r="1418" spans="1:3" x14ac:dyDescent="0.25">
      <c r="A1418" s="585">
        <v>29161</v>
      </c>
      <c r="B1418" s="585" t="s">
        <v>2624</v>
      </c>
      <c r="C1418" s="585" t="s">
        <v>2625</v>
      </c>
    </row>
    <row r="1419" spans="1:3" x14ac:dyDescent="0.25">
      <c r="A1419" s="585">
        <v>29163</v>
      </c>
      <c r="B1419" s="585" t="s">
        <v>2626</v>
      </c>
      <c r="C1419" s="585" t="s">
        <v>2626</v>
      </c>
    </row>
    <row r="1420" spans="1:3" x14ac:dyDescent="0.25">
      <c r="A1420" s="585">
        <v>29165</v>
      </c>
      <c r="B1420" s="585" t="s">
        <v>2627</v>
      </c>
      <c r="C1420" s="585" t="s">
        <v>2627</v>
      </c>
    </row>
    <row r="1421" spans="1:3" x14ac:dyDescent="0.25">
      <c r="A1421" s="585">
        <v>29184</v>
      </c>
      <c r="B1421" s="585" t="s">
        <v>2628</v>
      </c>
      <c r="C1421" s="585" t="s">
        <v>2629</v>
      </c>
    </row>
    <row r="1422" spans="1:3" x14ac:dyDescent="0.25">
      <c r="A1422" s="585">
        <v>29189</v>
      </c>
      <c r="B1422" s="585" t="s">
        <v>2630</v>
      </c>
      <c r="C1422" s="585" t="s">
        <v>2630</v>
      </c>
    </row>
    <row r="1423" spans="1:3" x14ac:dyDescent="0.25">
      <c r="A1423" s="585">
        <v>29193</v>
      </c>
      <c r="B1423" s="585" t="s">
        <v>2631</v>
      </c>
      <c r="C1423" s="585" t="s">
        <v>2631</v>
      </c>
    </row>
    <row r="1424" spans="1:3" x14ac:dyDescent="0.25">
      <c r="A1424" s="585">
        <v>29200</v>
      </c>
      <c r="B1424" s="585" t="s">
        <v>2632</v>
      </c>
      <c r="C1424" s="585" t="s">
        <v>2633</v>
      </c>
    </row>
    <row r="1425" spans="1:3" x14ac:dyDescent="0.25">
      <c r="A1425" s="585">
        <v>29201</v>
      </c>
      <c r="B1425" s="585" t="s">
        <v>2634</v>
      </c>
      <c r="C1425" s="585" t="s">
        <v>2635</v>
      </c>
    </row>
    <row r="1426" spans="1:3" x14ac:dyDescent="0.25">
      <c r="A1426" s="585">
        <v>29203</v>
      </c>
      <c r="B1426" s="585" t="s">
        <v>2636</v>
      </c>
      <c r="C1426" s="585" t="s">
        <v>2637</v>
      </c>
    </row>
    <row r="1427" spans="1:3" x14ac:dyDescent="0.25">
      <c r="A1427" s="585">
        <v>29212</v>
      </c>
      <c r="B1427" s="585" t="s">
        <v>2638</v>
      </c>
      <c r="C1427" s="585" t="s">
        <v>2639</v>
      </c>
    </row>
    <row r="1428" spans="1:3" x14ac:dyDescent="0.25">
      <c r="A1428" s="585">
        <v>29217</v>
      </c>
      <c r="B1428" s="585" t="s">
        <v>2640</v>
      </c>
      <c r="C1428" s="585" t="s">
        <v>2641</v>
      </c>
    </row>
    <row r="1429" spans="1:3" x14ac:dyDescent="0.25">
      <c r="A1429" s="585">
        <v>29231</v>
      </c>
      <c r="B1429" s="585" t="s">
        <v>2642</v>
      </c>
      <c r="C1429" s="585" t="s">
        <v>2643</v>
      </c>
    </row>
    <row r="1430" spans="1:3" x14ac:dyDescent="0.25">
      <c r="A1430" s="585">
        <v>29234</v>
      </c>
      <c r="B1430" s="585" t="s">
        <v>2644</v>
      </c>
      <c r="C1430" s="585" t="s">
        <v>2645</v>
      </c>
    </row>
    <row r="1431" spans="1:3" x14ac:dyDescent="0.25">
      <c r="A1431" s="585">
        <v>29236</v>
      </c>
      <c r="B1431" s="585" t="s">
        <v>2646</v>
      </c>
      <c r="C1431" s="585" t="s">
        <v>2647</v>
      </c>
    </row>
    <row r="1432" spans="1:3" x14ac:dyDescent="0.25">
      <c r="A1432" s="585">
        <v>29243</v>
      </c>
      <c r="B1432" s="585" t="s">
        <v>2648</v>
      </c>
      <c r="C1432" s="585" t="s">
        <v>2059</v>
      </c>
    </row>
    <row r="1433" spans="1:3" x14ac:dyDescent="0.25">
      <c r="A1433" s="585">
        <v>29245</v>
      </c>
      <c r="B1433" s="585" t="s">
        <v>2649</v>
      </c>
      <c r="C1433" s="585" t="s">
        <v>2650</v>
      </c>
    </row>
    <row r="1434" spans="1:3" x14ac:dyDescent="0.25">
      <c r="A1434" s="585">
        <v>29246</v>
      </c>
      <c r="B1434" s="585" t="s">
        <v>2651</v>
      </c>
      <c r="C1434" s="585" t="s">
        <v>2652</v>
      </c>
    </row>
    <row r="1435" spans="1:3" x14ac:dyDescent="0.25">
      <c r="A1435" s="585">
        <v>29268</v>
      </c>
      <c r="B1435" s="585" t="s">
        <v>2653</v>
      </c>
      <c r="C1435" s="585" t="s">
        <v>2654</v>
      </c>
    </row>
    <row r="1436" spans="1:3" x14ac:dyDescent="0.25">
      <c r="A1436" s="585">
        <v>29270</v>
      </c>
      <c r="B1436" s="585" t="s">
        <v>2655</v>
      </c>
      <c r="C1436" s="585" t="s">
        <v>2656</v>
      </c>
    </row>
    <row r="1437" spans="1:3" x14ac:dyDescent="0.25">
      <c r="A1437" s="585">
        <v>29273</v>
      </c>
      <c r="B1437" s="585" t="s">
        <v>2657</v>
      </c>
      <c r="C1437" s="585" t="s">
        <v>2658</v>
      </c>
    </row>
    <row r="1438" spans="1:3" x14ac:dyDescent="0.25">
      <c r="A1438" s="585">
        <v>29290</v>
      </c>
      <c r="B1438" s="585" t="s">
        <v>2659</v>
      </c>
      <c r="C1438" s="585" t="s">
        <v>2660</v>
      </c>
    </row>
    <row r="1439" spans="1:3" x14ac:dyDescent="0.25">
      <c r="A1439" s="585">
        <v>29292</v>
      </c>
      <c r="B1439" s="585" t="s">
        <v>2661</v>
      </c>
      <c r="C1439" s="585" t="s">
        <v>2661</v>
      </c>
    </row>
    <row r="1440" spans="1:3" x14ac:dyDescent="0.25">
      <c r="A1440" s="585">
        <v>29296</v>
      </c>
      <c r="B1440" s="585" t="s">
        <v>2662</v>
      </c>
      <c r="C1440" s="585" t="s">
        <v>2662</v>
      </c>
    </row>
    <row r="1441" spans="1:3" x14ac:dyDescent="0.25">
      <c r="A1441" s="585">
        <v>29302</v>
      </c>
      <c r="B1441" s="585" t="s">
        <v>2663</v>
      </c>
      <c r="C1441" s="585" t="s">
        <v>2664</v>
      </c>
    </row>
    <row r="1442" spans="1:3" x14ac:dyDescent="0.25">
      <c r="A1442" s="585">
        <v>29303</v>
      </c>
      <c r="B1442" s="585" t="s">
        <v>2665</v>
      </c>
      <c r="C1442" s="585" t="s">
        <v>2666</v>
      </c>
    </row>
    <row r="1443" spans="1:3" x14ac:dyDescent="0.25">
      <c r="A1443" s="585">
        <v>29325</v>
      </c>
      <c r="B1443" s="585" t="s">
        <v>46</v>
      </c>
      <c r="C1443" s="585" t="s">
        <v>46</v>
      </c>
    </row>
    <row r="1444" spans="1:3" x14ac:dyDescent="0.25">
      <c r="A1444" s="585">
        <v>29326</v>
      </c>
      <c r="B1444" s="585" t="s">
        <v>2667</v>
      </c>
      <c r="C1444" s="585" t="s">
        <v>2668</v>
      </c>
    </row>
    <row r="1445" spans="1:3" x14ac:dyDescent="0.25">
      <c r="A1445" s="585">
        <v>29332</v>
      </c>
      <c r="B1445" s="585" t="s">
        <v>2669</v>
      </c>
      <c r="C1445" s="585" t="s">
        <v>2670</v>
      </c>
    </row>
    <row r="1446" spans="1:3" x14ac:dyDescent="0.25">
      <c r="A1446" s="585">
        <v>29356</v>
      </c>
      <c r="B1446" s="585" t="s">
        <v>2671</v>
      </c>
      <c r="C1446" s="585" t="s">
        <v>2672</v>
      </c>
    </row>
    <row r="1447" spans="1:3" x14ac:dyDescent="0.25">
      <c r="A1447" s="585">
        <v>29362</v>
      </c>
      <c r="B1447" s="585" t="s">
        <v>2673</v>
      </c>
      <c r="C1447" s="585" t="s">
        <v>2673</v>
      </c>
    </row>
    <row r="1448" spans="1:3" x14ac:dyDescent="0.25">
      <c r="A1448" s="585">
        <v>29367</v>
      </c>
      <c r="B1448" s="585" t="s">
        <v>2674</v>
      </c>
      <c r="C1448" s="585" t="s">
        <v>2675</v>
      </c>
    </row>
    <row r="1449" spans="1:3" x14ac:dyDescent="0.25">
      <c r="A1449" s="585">
        <v>29368</v>
      </c>
      <c r="B1449" s="585" t="s">
        <v>2676</v>
      </c>
      <c r="C1449" s="585" t="s">
        <v>2677</v>
      </c>
    </row>
    <row r="1450" spans="1:3" x14ac:dyDescent="0.25">
      <c r="A1450" s="585">
        <v>29376</v>
      </c>
      <c r="B1450" s="585" t="s">
        <v>2678</v>
      </c>
      <c r="C1450" s="585" t="s">
        <v>2679</v>
      </c>
    </row>
    <row r="1451" spans="1:3" x14ac:dyDescent="0.25">
      <c r="A1451" s="585">
        <v>29377</v>
      </c>
      <c r="B1451" s="585" t="s">
        <v>2680</v>
      </c>
      <c r="C1451" s="585" t="s">
        <v>2681</v>
      </c>
    </row>
    <row r="1452" spans="1:3" x14ac:dyDescent="0.25">
      <c r="A1452" s="585">
        <v>29424</v>
      </c>
      <c r="B1452" s="585" t="s">
        <v>2682</v>
      </c>
      <c r="C1452" s="585" t="s">
        <v>2682</v>
      </c>
    </row>
    <row r="1453" spans="1:3" x14ac:dyDescent="0.25">
      <c r="A1453" s="585">
        <v>29425</v>
      </c>
      <c r="B1453" s="585" t="s">
        <v>2683</v>
      </c>
      <c r="C1453" s="585" t="s">
        <v>2684</v>
      </c>
    </row>
    <row r="1454" spans="1:3" x14ac:dyDescent="0.25">
      <c r="A1454" s="585">
        <v>29430</v>
      </c>
      <c r="B1454" s="585" t="s">
        <v>2685</v>
      </c>
      <c r="C1454" s="585" t="s">
        <v>2686</v>
      </c>
    </row>
    <row r="1455" spans="1:3" x14ac:dyDescent="0.25">
      <c r="A1455" s="585">
        <v>29434</v>
      </c>
      <c r="B1455" s="585" t="s">
        <v>3475</v>
      </c>
      <c r="C1455" s="585" t="s">
        <v>3475</v>
      </c>
    </row>
    <row r="1456" spans="1:3" x14ac:dyDescent="0.25">
      <c r="A1456" s="585">
        <v>29454</v>
      </c>
      <c r="B1456" s="585" t="s">
        <v>2687</v>
      </c>
      <c r="C1456" s="585" t="s">
        <v>2688</v>
      </c>
    </row>
    <row r="1457" spans="1:3" x14ac:dyDescent="0.25">
      <c r="A1457" s="585">
        <v>29456</v>
      </c>
      <c r="B1457" s="585" t="s">
        <v>2689</v>
      </c>
      <c r="C1457" s="585" t="s">
        <v>2690</v>
      </c>
    </row>
    <row r="1458" spans="1:3" x14ac:dyDescent="0.25">
      <c r="A1458" s="585">
        <v>29457</v>
      </c>
      <c r="B1458" s="585" t="s">
        <v>2691</v>
      </c>
      <c r="C1458" s="585" t="s">
        <v>2692</v>
      </c>
    </row>
    <row r="1459" spans="1:3" x14ac:dyDescent="0.25">
      <c r="A1459" s="585">
        <v>29458</v>
      </c>
      <c r="B1459" s="585" t="s">
        <v>2693</v>
      </c>
      <c r="C1459" s="585" t="s">
        <v>2694</v>
      </c>
    </row>
    <row r="1460" spans="1:3" x14ac:dyDescent="0.25">
      <c r="A1460" s="585">
        <v>29459</v>
      </c>
      <c r="B1460" s="585" t="s">
        <v>1969</v>
      </c>
      <c r="C1460" s="585" t="s">
        <v>1969</v>
      </c>
    </row>
    <row r="1461" spans="1:3" x14ac:dyDescent="0.25">
      <c r="A1461" s="585">
        <v>29461</v>
      </c>
      <c r="B1461" s="585" t="s">
        <v>2695</v>
      </c>
      <c r="C1461" s="585" t="s">
        <v>2696</v>
      </c>
    </row>
    <row r="1462" spans="1:3" x14ac:dyDescent="0.25">
      <c r="A1462" s="585">
        <v>29473</v>
      </c>
      <c r="B1462" s="585" t="s">
        <v>2697</v>
      </c>
      <c r="C1462" s="585" t="s">
        <v>2698</v>
      </c>
    </row>
    <row r="1463" spans="1:3" x14ac:dyDescent="0.25">
      <c r="A1463" s="585">
        <v>29514</v>
      </c>
      <c r="B1463" s="585" t="s">
        <v>2699</v>
      </c>
      <c r="C1463" s="585" t="s">
        <v>2699</v>
      </c>
    </row>
    <row r="1464" spans="1:3" x14ac:dyDescent="0.25">
      <c r="A1464" s="585">
        <v>29516</v>
      </c>
      <c r="B1464" s="585" t="s">
        <v>2700</v>
      </c>
      <c r="C1464" s="585" t="s">
        <v>2701</v>
      </c>
    </row>
    <row r="1465" spans="1:3" x14ac:dyDescent="0.25">
      <c r="A1465" s="585">
        <v>29546</v>
      </c>
      <c r="B1465" s="585" t="s">
        <v>2702</v>
      </c>
      <c r="C1465" s="585" t="s">
        <v>2703</v>
      </c>
    </row>
    <row r="1466" spans="1:3" x14ac:dyDescent="0.25">
      <c r="A1466" s="585">
        <v>29551</v>
      </c>
      <c r="B1466" s="585" t="s">
        <v>2704</v>
      </c>
      <c r="C1466" s="585" t="s">
        <v>2705</v>
      </c>
    </row>
    <row r="1467" spans="1:3" x14ac:dyDescent="0.25">
      <c r="A1467" s="585">
        <v>29556</v>
      </c>
      <c r="B1467" s="585" t="s">
        <v>2706</v>
      </c>
      <c r="C1467" s="585" t="s">
        <v>2706</v>
      </c>
    </row>
    <row r="1468" spans="1:3" x14ac:dyDescent="0.25">
      <c r="A1468" s="585">
        <v>29560</v>
      </c>
      <c r="B1468" s="585" t="s">
        <v>2707</v>
      </c>
      <c r="C1468" s="585" t="s">
        <v>2707</v>
      </c>
    </row>
    <row r="1469" spans="1:3" x14ac:dyDescent="0.25">
      <c r="A1469" s="585">
        <v>29572</v>
      </c>
      <c r="B1469" s="585" t="s">
        <v>2708</v>
      </c>
      <c r="C1469" s="585" t="s">
        <v>2709</v>
      </c>
    </row>
    <row r="1470" spans="1:3" x14ac:dyDescent="0.25">
      <c r="A1470" s="585">
        <v>29575</v>
      </c>
      <c r="B1470" s="585" t="s">
        <v>2710</v>
      </c>
      <c r="C1470" s="585" t="s">
        <v>2711</v>
      </c>
    </row>
    <row r="1471" spans="1:3" x14ac:dyDescent="0.25">
      <c r="A1471" s="585">
        <v>29583</v>
      </c>
      <c r="B1471" s="585" t="s">
        <v>2712</v>
      </c>
      <c r="C1471" s="585" t="s">
        <v>2712</v>
      </c>
    </row>
    <row r="1472" spans="1:3" x14ac:dyDescent="0.25">
      <c r="A1472" s="585">
        <v>29586</v>
      </c>
      <c r="B1472" s="585" t="s">
        <v>2713</v>
      </c>
      <c r="C1472" s="585" t="s">
        <v>2713</v>
      </c>
    </row>
    <row r="1473" spans="1:3" x14ac:dyDescent="0.25">
      <c r="A1473" s="585">
        <v>29588</v>
      </c>
      <c r="B1473" s="585" t="s">
        <v>2714</v>
      </c>
      <c r="C1473" s="585" t="s">
        <v>2715</v>
      </c>
    </row>
    <row r="1474" spans="1:3" x14ac:dyDescent="0.25">
      <c r="A1474" s="585">
        <v>29589</v>
      </c>
      <c r="B1474" s="585" t="s">
        <v>2716</v>
      </c>
      <c r="C1474" s="585" t="s">
        <v>2716</v>
      </c>
    </row>
    <row r="1475" spans="1:3" x14ac:dyDescent="0.25">
      <c r="A1475" s="585">
        <v>29590</v>
      </c>
      <c r="B1475" s="585" t="s">
        <v>2717</v>
      </c>
      <c r="C1475" s="585" t="s">
        <v>2717</v>
      </c>
    </row>
    <row r="1476" spans="1:3" x14ac:dyDescent="0.25">
      <c r="A1476" s="585">
        <v>29605</v>
      </c>
      <c r="B1476" s="585" t="s">
        <v>2718</v>
      </c>
      <c r="C1476" s="585" t="s">
        <v>2718</v>
      </c>
    </row>
    <row r="1477" spans="1:3" x14ac:dyDescent="0.25">
      <c r="A1477" s="585">
        <v>29619</v>
      </c>
      <c r="B1477" s="585" t="s">
        <v>2719</v>
      </c>
      <c r="C1477" s="585" t="s">
        <v>2720</v>
      </c>
    </row>
    <row r="1478" spans="1:3" x14ac:dyDescent="0.25">
      <c r="A1478" s="585">
        <v>29628</v>
      </c>
      <c r="B1478" s="585" t="s">
        <v>2715</v>
      </c>
      <c r="C1478" s="585" t="s">
        <v>2715</v>
      </c>
    </row>
    <row r="1479" spans="1:3" x14ac:dyDescent="0.25">
      <c r="A1479" s="585">
        <v>29634</v>
      </c>
      <c r="B1479" s="585" t="s">
        <v>2721</v>
      </c>
      <c r="C1479" s="585" t="s">
        <v>2722</v>
      </c>
    </row>
    <row r="1480" spans="1:3" x14ac:dyDescent="0.25">
      <c r="A1480" s="585">
        <v>29636</v>
      </c>
      <c r="B1480" s="585" t="s">
        <v>2723</v>
      </c>
      <c r="C1480" s="585" t="s">
        <v>2724</v>
      </c>
    </row>
    <row r="1481" spans="1:3" x14ac:dyDescent="0.25">
      <c r="A1481" s="585">
        <v>29642</v>
      </c>
      <c r="B1481" s="585" t="s">
        <v>2725</v>
      </c>
      <c r="C1481" s="585" t="s">
        <v>2726</v>
      </c>
    </row>
    <row r="1482" spans="1:3" x14ac:dyDescent="0.25">
      <c r="A1482" s="585">
        <v>29643</v>
      </c>
      <c r="B1482" s="585" t="s">
        <v>2727</v>
      </c>
      <c r="C1482" s="585" t="s">
        <v>2728</v>
      </c>
    </row>
    <row r="1483" spans="1:3" x14ac:dyDescent="0.25">
      <c r="A1483" s="585">
        <v>29646</v>
      </c>
      <c r="B1483" s="585" t="s">
        <v>2729</v>
      </c>
      <c r="C1483" s="585" t="s">
        <v>2730</v>
      </c>
    </row>
    <row r="1484" spans="1:3" x14ac:dyDescent="0.25">
      <c r="A1484" s="585">
        <v>29648</v>
      </c>
      <c r="B1484" s="585" t="s">
        <v>3343</v>
      </c>
      <c r="C1484" s="585" t="s">
        <v>3343</v>
      </c>
    </row>
    <row r="1485" spans="1:3" x14ac:dyDescent="0.25">
      <c r="A1485" s="585">
        <v>29649</v>
      </c>
      <c r="B1485" s="585" t="s">
        <v>2731</v>
      </c>
      <c r="C1485" s="585" t="s">
        <v>2732</v>
      </c>
    </row>
    <row r="1486" spans="1:3" x14ac:dyDescent="0.25">
      <c r="A1486" s="585">
        <v>29652</v>
      </c>
      <c r="B1486" s="585" t="s">
        <v>2733</v>
      </c>
      <c r="C1486" s="585" t="s">
        <v>2734</v>
      </c>
    </row>
    <row r="1487" spans="1:3" x14ac:dyDescent="0.25">
      <c r="A1487" s="585">
        <v>29653</v>
      </c>
      <c r="B1487" s="585" t="s">
        <v>2735</v>
      </c>
      <c r="C1487" s="585" t="s">
        <v>2736</v>
      </c>
    </row>
    <row r="1488" spans="1:3" x14ac:dyDescent="0.25">
      <c r="A1488" s="585">
        <v>29655</v>
      </c>
      <c r="B1488" s="585" t="s">
        <v>2737</v>
      </c>
      <c r="C1488" s="585" t="s">
        <v>2738</v>
      </c>
    </row>
    <row r="1489" spans="1:3" x14ac:dyDescent="0.25">
      <c r="A1489" s="585">
        <v>29663</v>
      </c>
      <c r="B1489" s="585" t="s">
        <v>3344</v>
      </c>
      <c r="C1489" s="585" t="s">
        <v>3344</v>
      </c>
    </row>
    <row r="1490" spans="1:3" x14ac:dyDescent="0.25">
      <c r="A1490" s="585">
        <v>29665</v>
      </c>
      <c r="B1490" s="585" t="s">
        <v>2739</v>
      </c>
      <c r="C1490" s="585" t="s">
        <v>2740</v>
      </c>
    </row>
    <row r="1491" spans="1:3" x14ac:dyDescent="0.25">
      <c r="A1491" s="585">
        <v>29666</v>
      </c>
      <c r="B1491" s="585" t="s">
        <v>2741</v>
      </c>
      <c r="C1491" s="585" t="s">
        <v>2741</v>
      </c>
    </row>
    <row r="1492" spans="1:3" x14ac:dyDescent="0.25">
      <c r="A1492" s="585">
        <v>29670</v>
      </c>
      <c r="B1492" s="585" t="s">
        <v>2742</v>
      </c>
      <c r="C1492" s="585" t="s">
        <v>2743</v>
      </c>
    </row>
    <row r="1493" spans="1:3" x14ac:dyDescent="0.25">
      <c r="A1493" s="585">
        <v>29685</v>
      </c>
      <c r="B1493" s="585" t="s">
        <v>2744</v>
      </c>
      <c r="C1493" s="585" t="s">
        <v>2744</v>
      </c>
    </row>
    <row r="1494" spans="1:3" x14ac:dyDescent="0.25">
      <c r="A1494" s="585">
        <v>29688</v>
      </c>
      <c r="B1494" s="585" t="s">
        <v>2745</v>
      </c>
      <c r="C1494" s="585" t="s">
        <v>2746</v>
      </c>
    </row>
    <row r="1495" spans="1:3" x14ac:dyDescent="0.25">
      <c r="A1495" s="585">
        <v>29690</v>
      </c>
      <c r="B1495" s="585" t="s">
        <v>2747</v>
      </c>
      <c r="C1495" s="585" t="s">
        <v>2747</v>
      </c>
    </row>
    <row r="1496" spans="1:3" x14ac:dyDescent="0.25">
      <c r="A1496" s="585">
        <v>29694</v>
      </c>
      <c r="B1496" s="585" t="s">
        <v>2748</v>
      </c>
      <c r="C1496" s="585" t="s">
        <v>2749</v>
      </c>
    </row>
    <row r="1497" spans="1:3" x14ac:dyDescent="0.25">
      <c r="A1497" s="585">
        <v>29696</v>
      </c>
      <c r="B1497" s="585" t="s">
        <v>2750</v>
      </c>
      <c r="C1497" s="585" t="s">
        <v>2750</v>
      </c>
    </row>
    <row r="1498" spans="1:3" x14ac:dyDescent="0.25">
      <c r="A1498" s="585">
        <v>29698</v>
      </c>
      <c r="B1498" s="585" t="s">
        <v>2751</v>
      </c>
      <c r="C1498" s="585" t="s">
        <v>2751</v>
      </c>
    </row>
    <row r="1499" spans="1:3" x14ac:dyDescent="0.25">
      <c r="A1499" s="585">
        <v>29703</v>
      </c>
      <c r="B1499" s="585" t="s">
        <v>2752</v>
      </c>
      <c r="C1499" s="585" t="s">
        <v>2753</v>
      </c>
    </row>
    <row r="1500" spans="1:3" x14ac:dyDescent="0.25">
      <c r="A1500" s="585">
        <v>29709</v>
      </c>
      <c r="B1500" s="585" t="s">
        <v>2754</v>
      </c>
      <c r="C1500" s="585" t="s">
        <v>2755</v>
      </c>
    </row>
    <row r="1501" spans="1:3" x14ac:dyDescent="0.25">
      <c r="A1501" s="585">
        <v>29710</v>
      </c>
      <c r="B1501" s="585" t="s">
        <v>2756</v>
      </c>
      <c r="C1501" s="585" t="s">
        <v>2757</v>
      </c>
    </row>
    <row r="1502" spans="1:3" x14ac:dyDescent="0.25">
      <c r="A1502" s="585">
        <v>29711</v>
      </c>
      <c r="B1502" s="585" t="s">
        <v>2758</v>
      </c>
      <c r="C1502" s="585" t="s">
        <v>2758</v>
      </c>
    </row>
    <row r="1503" spans="1:3" x14ac:dyDescent="0.25">
      <c r="A1503" s="585">
        <v>29712</v>
      </c>
      <c r="B1503" s="585" t="s">
        <v>2181</v>
      </c>
      <c r="C1503" s="585" t="s">
        <v>2182</v>
      </c>
    </row>
    <row r="1504" spans="1:3" x14ac:dyDescent="0.25">
      <c r="A1504" s="585">
        <v>29713</v>
      </c>
      <c r="B1504" s="585" t="s">
        <v>2759</v>
      </c>
      <c r="C1504" s="585" t="s">
        <v>2760</v>
      </c>
    </row>
    <row r="1505" spans="1:3" x14ac:dyDescent="0.25">
      <c r="A1505" s="585">
        <v>29714</v>
      </c>
      <c r="B1505" s="585" t="s">
        <v>2761</v>
      </c>
      <c r="C1505" s="585" t="s">
        <v>2761</v>
      </c>
    </row>
    <row r="1506" spans="1:3" x14ac:dyDescent="0.25">
      <c r="A1506" s="585">
        <v>29715</v>
      </c>
      <c r="B1506" s="585" t="s">
        <v>2762</v>
      </c>
      <c r="C1506" s="585" t="s">
        <v>2762</v>
      </c>
    </row>
    <row r="1507" spans="1:3" x14ac:dyDescent="0.25">
      <c r="A1507" s="585">
        <v>29717</v>
      </c>
      <c r="B1507" s="585" t="s">
        <v>2763</v>
      </c>
      <c r="C1507" s="585" t="s">
        <v>2764</v>
      </c>
    </row>
    <row r="1508" spans="1:3" x14ac:dyDescent="0.25">
      <c r="A1508" s="585">
        <v>29718</v>
      </c>
      <c r="B1508" s="585" t="s">
        <v>2765</v>
      </c>
      <c r="C1508" s="585" t="s">
        <v>2766</v>
      </c>
    </row>
    <row r="1509" spans="1:3" x14ac:dyDescent="0.25">
      <c r="A1509" s="585">
        <v>29721</v>
      </c>
      <c r="B1509" s="585" t="s">
        <v>2767</v>
      </c>
      <c r="C1509" s="585" t="s">
        <v>2768</v>
      </c>
    </row>
    <row r="1510" spans="1:3" x14ac:dyDescent="0.25">
      <c r="A1510" s="585">
        <v>29722</v>
      </c>
      <c r="B1510" s="585" t="s">
        <v>2769</v>
      </c>
      <c r="C1510" s="585" t="s">
        <v>2770</v>
      </c>
    </row>
    <row r="1511" spans="1:3" x14ac:dyDescent="0.25">
      <c r="A1511" s="585">
        <v>29723</v>
      </c>
      <c r="B1511" s="585" t="s">
        <v>2771</v>
      </c>
      <c r="C1511" s="585" t="s">
        <v>2772</v>
      </c>
    </row>
    <row r="1512" spans="1:3" x14ac:dyDescent="0.25">
      <c r="A1512" s="585">
        <v>29724</v>
      </c>
      <c r="B1512" s="585" t="s">
        <v>53</v>
      </c>
      <c r="C1512" s="585" t="s">
        <v>30</v>
      </c>
    </row>
    <row r="1513" spans="1:3" x14ac:dyDescent="0.25">
      <c r="A1513" s="585">
        <v>29725</v>
      </c>
      <c r="B1513" s="585" t="s">
        <v>2773</v>
      </c>
      <c r="C1513" s="585" t="s">
        <v>2399</v>
      </c>
    </row>
    <row r="1514" spans="1:3" x14ac:dyDescent="0.25">
      <c r="A1514" s="585">
        <v>29726</v>
      </c>
      <c r="B1514" s="585" t="s">
        <v>2641</v>
      </c>
      <c r="C1514" s="585" t="s">
        <v>2641</v>
      </c>
    </row>
    <row r="1515" spans="1:3" x14ac:dyDescent="0.25">
      <c r="A1515" s="585">
        <v>29727</v>
      </c>
      <c r="B1515" s="585" t="s">
        <v>2774</v>
      </c>
      <c r="C1515" s="585" t="s">
        <v>2774</v>
      </c>
    </row>
    <row r="1516" spans="1:3" x14ac:dyDescent="0.25">
      <c r="A1516" s="585">
        <v>29728</v>
      </c>
      <c r="B1516" s="585" t="s">
        <v>2269</v>
      </c>
      <c r="C1516" s="585" t="s">
        <v>2269</v>
      </c>
    </row>
    <row r="1517" spans="1:3" x14ac:dyDescent="0.25">
      <c r="A1517" s="585">
        <v>29729</v>
      </c>
      <c r="B1517" s="585" t="s">
        <v>2775</v>
      </c>
      <c r="C1517" s="585" t="s">
        <v>2775</v>
      </c>
    </row>
    <row r="1518" spans="1:3" x14ac:dyDescent="0.25">
      <c r="A1518" s="585">
        <v>29738</v>
      </c>
      <c r="B1518" s="585" t="s">
        <v>2776</v>
      </c>
      <c r="C1518" s="585" t="s">
        <v>2777</v>
      </c>
    </row>
    <row r="1519" spans="1:3" x14ac:dyDescent="0.25">
      <c r="A1519" s="585">
        <v>29756</v>
      </c>
      <c r="B1519" s="585" t="s">
        <v>2778</v>
      </c>
      <c r="C1519" s="585" t="s">
        <v>2778</v>
      </c>
    </row>
    <row r="1520" spans="1:3" x14ac:dyDescent="0.25">
      <c r="A1520" s="585">
        <v>29759</v>
      </c>
      <c r="B1520" s="585" t="s">
        <v>2779</v>
      </c>
      <c r="C1520" s="585" t="s">
        <v>2780</v>
      </c>
    </row>
    <row r="1521" spans="1:3" x14ac:dyDescent="0.25">
      <c r="A1521" s="585">
        <v>29764</v>
      </c>
      <c r="B1521" s="585" t="s">
        <v>2781</v>
      </c>
      <c r="C1521" s="585" t="s">
        <v>2782</v>
      </c>
    </row>
    <row r="1522" spans="1:3" x14ac:dyDescent="0.25">
      <c r="A1522" s="585">
        <v>29765</v>
      </c>
      <c r="B1522" s="585" t="s">
        <v>2783</v>
      </c>
      <c r="C1522" s="585" t="s">
        <v>2784</v>
      </c>
    </row>
    <row r="1523" spans="1:3" x14ac:dyDescent="0.25">
      <c r="A1523" s="585">
        <v>29768</v>
      </c>
      <c r="B1523" s="585" t="s">
        <v>2785</v>
      </c>
      <c r="C1523" s="585" t="s">
        <v>2543</v>
      </c>
    </row>
    <row r="1524" spans="1:3" x14ac:dyDescent="0.25">
      <c r="A1524" s="585">
        <v>29769</v>
      </c>
      <c r="B1524" s="585" t="s">
        <v>2786</v>
      </c>
      <c r="C1524" s="585" t="s">
        <v>2787</v>
      </c>
    </row>
    <row r="1525" spans="1:3" x14ac:dyDescent="0.25">
      <c r="A1525" s="585">
        <v>29773</v>
      </c>
      <c r="B1525" s="585" t="s">
        <v>2788</v>
      </c>
      <c r="C1525" s="585" t="s">
        <v>2789</v>
      </c>
    </row>
    <row r="1526" spans="1:3" x14ac:dyDescent="0.25">
      <c r="A1526" s="585">
        <v>29774</v>
      </c>
      <c r="B1526" s="585" t="s">
        <v>2790</v>
      </c>
      <c r="C1526" s="585" t="s">
        <v>2791</v>
      </c>
    </row>
    <row r="1527" spans="1:3" x14ac:dyDescent="0.25">
      <c r="A1527" s="585">
        <v>29775</v>
      </c>
      <c r="B1527" s="585" t="s">
        <v>2792</v>
      </c>
      <c r="C1527" s="585" t="s">
        <v>2793</v>
      </c>
    </row>
    <row r="1528" spans="1:3" x14ac:dyDescent="0.25">
      <c r="A1528" s="585">
        <v>29778</v>
      </c>
      <c r="B1528" s="585" t="s">
        <v>2794</v>
      </c>
      <c r="C1528" s="585" t="s">
        <v>2795</v>
      </c>
    </row>
    <row r="1529" spans="1:3" x14ac:dyDescent="0.25">
      <c r="A1529" s="585">
        <v>29780</v>
      </c>
      <c r="B1529" s="585" t="s">
        <v>2796</v>
      </c>
      <c r="C1529" s="585" t="s">
        <v>2796</v>
      </c>
    </row>
    <row r="1530" spans="1:3" x14ac:dyDescent="0.25">
      <c r="A1530" s="585">
        <v>29781</v>
      </c>
      <c r="B1530" s="585" t="s">
        <v>2797</v>
      </c>
      <c r="C1530" s="585" t="s">
        <v>2797</v>
      </c>
    </row>
    <row r="1531" spans="1:3" x14ac:dyDescent="0.25">
      <c r="A1531" s="585">
        <v>29804</v>
      </c>
      <c r="B1531" s="585" t="s">
        <v>2798</v>
      </c>
      <c r="C1531" s="585" t="s">
        <v>2798</v>
      </c>
    </row>
    <row r="1532" spans="1:3" x14ac:dyDescent="0.25">
      <c r="A1532" s="585">
        <v>29807</v>
      </c>
      <c r="B1532" s="585" t="s">
        <v>2799</v>
      </c>
      <c r="C1532" s="585" t="s">
        <v>2800</v>
      </c>
    </row>
    <row r="1533" spans="1:3" x14ac:dyDescent="0.25">
      <c r="A1533" s="585">
        <v>29927</v>
      </c>
      <c r="B1533" s="585" t="s">
        <v>2801</v>
      </c>
      <c r="C1533" s="585" t="s">
        <v>2801</v>
      </c>
    </row>
    <row r="1534" spans="1:3" x14ac:dyDescent="0.25">
      <c r="A1534" s="585">
        <v>29966</v>
      </c>
      <c r="B1534" s="585" t="s">
        <v>2802</v>
      </c>
      <c r="C1534" s="585" t="s">
        <v>2802</v>
      </c>
    </row>
    <row r="1535" spans="1:3" x14ac:dyDescent="0.25">
      <c r="A1535" s="585">
        <v>29967</v>
      </c>
      <c r="B1535" s="585" t="s">
        <v>2803</v>
      </c>
      <c r="C1535" s="585" t="s">
        <v>2803</v>
      </c>
    </row>
    <row r="1536" spans="1:3" x14ac:dyDescent="0.25">
      <c r="A1536" s="585">
        <v>29968</v>
      </c>
      <c r="B1536" s="585" t="s">
        <v>2804</v>
      </c>
      <c r="C1536" s="585" t="s">
        <v>2804</v>
      </c>
    </row>
    <row r="1537" spans="1:3" x14ac:dyDescent="0.25">
      <c r="A1537" s="585">
        <v>29985</v>
      </c>
      <c r="B1537" s="585" t="s">
        <v>2805</v>
      </c>
      <c r="C1537" s="585" t="s">
        <v>2805</v>
      </c>
    </row>
    <row r="1538" spans="1:3" x14ac:dyDescent="0.25">
      <c r="A1538" s="585">
        <v>29990</v>
      </c>
      <c r="B1538" s="585" t="s">
        <v>2806</v>
      </c>
      <c r="C1538" s="585" t="s">
        <v>2807</v>
      </c>
    </row>
    <row r="1539" spans="1:3" x14ac:dyDescent="0.25">
      <c r="A1539" s="585">
        <v>29991</v>
      </c>
      <c r="B1539" s="585" t="s">
        <v>2808</v>
      </c>
      <c r="C1539" s="585" t="s">
        <v>2809</v>
      </c>
    </row>
    <row r="1540" spans="1:3" x14ac:dyDescent="0.25">
      <c r="A1540" s="585">
        <v>29993</v>
      </c>
      <c r="B1540" s="585" t="s">
        <v>2810</v>
      </c>
      <c r="C1540" s="585" t="s">
        <v>2810</v>
      </c>
    </row>
    <row r="1541" spans="1:3" x14ac:dyDescent="0.25">
      <c r="A1541" s="585">
        <v>29994</v>
      </c>
      <c r="B1541" s="585" t="s">
        <v>2811</v>
      </c>
      <c r="C1541" s="585" t="s">
        <v>2812</v>
      </c>
    </row>
    <row r="1542" spans="1:3" x14ac:dyDescent="0.25">
      <c r="A1542" s="585">
        <v>30001</v>
      </c>
      <c r="B1542" s="585" t="s">
        <v>2813</v>
      </c>
      <c r="C1542" s="585" t="s">
        <v>2813</v>
      </c>
    </row>
    <row r="1543" spans="1:3" x14ac:dyDescent="0.25">
      <c r="A1543" s="585">
        <v>30004</v>
      </c>
      <c r="B1543" s="585" t="s">
        <v>2814</v>
      </c>
      <c r="C1543" s="585" t="s">
        <v>2815</v>
      </c>
    </row>
    <row r="1544" spans="1:3" x14ac:dyDescent="0.25">
      <c r="A1544" s="585">
        <v>30024</v>
      </c>
      <c r="B1544" s="585" t="s">
        <v>2816</v>
      </c>
      <c r="C1544" s="585" t="s">
        <v>2817</v>
      </c>
    </row>
    <row r="1545" spans="1:3" x14ac:dyDescent="0.25">
      <c r="A1545" s="585">
        <v>30026</v>
      </c>
      <c r="B1545" s="585" t="s">
        <v>2818</v>
      </c>
      <c r="C1545" s="585" t="s">
        <v>2819</v>
      </c>
    </row>
    <row r="1546" spans="1:3" x14ac:dyDescent="0.25">
      <c r="A1546" s="585">
        <v>30033</v>
      </c>
      <c r="B1546" s="585" t="s">
        <v>2820</v>
      </c>
      <c r="C1546" s="585" t="s">
        <v>2821</v>
      </c>
    </row>
    <row r="1547" spans="1:3" x14ac:dyDescent="0.25">
      <c r="A1547" s="585">
        <v>30034</v>
      </c>
      <c r="B1547" s="585" t="s">
        <v>2822</v>
      </c>
      <c r="C1547" s="585" t="s">
        <v>2823</v>
      </c>
    </row>
    <row r="1548" spans="1:3" x14ac:dyDescent="0.25">
      <c r="A1548" s="585">
        <v>30036</v>
      </c>
      <c r="B1548" s="585" t="s">
        <v>2824</v>
      </c>
      <c r="C1548" s="585" t="s">
        <v>2825</v>
      </c>
    </row>
    <row r="1549" spans="1:3" x14ac:dyDescent="0.25">
      <c r="A1549" s="585">
        <v>30041</v>
      </c>
      <c r="B1549" s="585" t="s">
        <v>2826</v>
      </c>
      <c r="C1549" s="585" t="s">
        <v>2827</v>
      </c>
    </row>
    <row r="1550" spans="1:3" x14ac:dyDescent="0.25">
      <c r="A1550" s="585">
        <v>30042</v>
      </c>
      <c r="B1550" s="585" t="s">
        <v>2828</v>
      </c>
      <c r="C1550" s="585" t="s">
        <v>2828</v>
      </c>
    </row>
    <row r="1551" spans="1:3" x14ac:dyDescent="0.25">
      <c r="A1551" s="585">
        <v>30044</v>
      </c>
      <c r="B1551" s="585" t="s">
        <v>2829</v>
      </c>
      <c r="C1551" s="585" t="s">
        <v>2830</v>
      </c>
    </row>
    <row r="1552" spans="1:3" x14ac:dyDescent="0.25">
      <c r="A1552" s="585">
        <v>30046</v>
      </c>
      <c r="B1552" s="585" t="s">
        <v>2831</v>
      </c>
      <c r="C1552" s="585" t="s">
        <v>2832</v>
      </c>
    </row>
    <row r="1553" spans="1:3" x14ac:dyDescent="0.25">
      <c r="A1553" s="585">
        <v>30047</v>
      </c>
      <c r="B1553" s="585" t="s">
        <v>2833</v>
      </c>
      <c r="C1553" s="585" t="s">
        <v>2834</v>
      </c>
    </row>
    <row r="1554" spans="1:3" x14ac:dyDescent="0.25">
      <c r="A1554" s="585">
        <v>30048</v>
      </c>
      <c r="B1554" s="585" t="s">
        <v>2835</v>
      </c>
      <c r="C1554" s="585" t="s">
        <v>2836</v>
      </c>
    </row>
    <row r="1555" spans="1:3" x14ac:dyDescent="0.25">
      <c r="A1555" s="585">
        <v>30049</v>
      </c>
      <c r="B1555" s="585" t="s">
        <v>2837</v>
      </c>
      <c r="C1555" s="585" t="s">
        <v>2838</v>
      </c>
    </row>
    <row r="1556" spans="1:3" x14ac:dyDescent="0.25">
      <c r="A1556" s="585">
        <v>30053</v>
      </c>
      <c r="B1556" s="585" t="s">
        <v>2839</v>
      </c>
      <c r="C1556" s="585" t="s">
        <v>2840</v>
      </c>
    </row>
    <row r="1557" spans="1:3" x14ac:dyDescent="0.25">
      <c r="A1557" s="585">
        <v>30054</v>
      </c>
      <c r="B1557" s="585" t="s">
        <v>2841</v>
      </c>
      <c r="C1557" s="585" t="s">
        <v>2842</v>
      </c>
    </row>
    <row r="1558" spans="1:3" x14ac:dyDescent="0.25">
      <c r="A1558" s="585">
        <v>30057</v>
      </c>
      <c r="B1558" s="585" t="s">
        <v>2843</v>
      </c>
      <c r="C1558" s="585" t="s">
        <v>2844</v>
      </c>
    </row>
    <row r="1559" spans="1:3" x14ac:dyDescent="0.25">
      <c r="A1559" s="585">
        <v>30060</v>
      </c>
      <c r="B1559" s="585" t="s">
        <v>2845</v>
      </c>
      <c r="C1559" s="585" t="s">
        <v>2846</v>
      </c>
    </row>
    <row r="1560" spans="1:3" x14ac:dyDescent="0.25">
      <c r="A1560" s="585">
        <v>30063</v>
      </c>
      <c r="B1560" s="585" t="s">
        <v>2847</v>
      </c>
      <c r="C1560" s="585" t="s">
        <v>2848</v>
      </c>
    </row>
    <row r="1561" spans="1:3" x14ac:dyDescent="0.25">
      <c r="A1561" s="585">
        <v>30064</v>
      </c>
      <c r="B1561" s="585" t="s">
        <v>2849</v>
      </c>
      <c r="C1561" s="585" t="s">
        <v>2850</v>
      </c>
    </row>
    <row r="1562" spans="1:3" x14ac:dyDescent="0.25">
      <c r="A1562" s="585">
        <v>30065</v>
      </c>
      <c r="B1562" s="585" t="s">
        <v>2851</v>
      </c>
      <c r="C1562" s="585" t="s">
        <v>2852</v>
      </c>
    </row>
    <row r="1563" spans="1:3" x14ac:dyDescent="0.25">
      <c r="A1563" s="585">
        <v>30069</v>
      </c>
      <c r="B1563" s="585" t="s">
        <v>2853</v>
      </c>
      <c r="C1563" s="585" t="s">
        <v>2853</v>
      </c>
    </row>
    <row r="1564" spans="1:3" x14ac:dyDescent="0.25">
      <c r="A1564" s="585">
        <v>30090</v>
      </c>
      <c r="B1564" s="585" t="s">
        <v>2854</v>
      </c>
      <c r="C1564" s="585" t="s">
        <v>2855</v>
      </c>
    </row>
    <row r="1565" spans="1:3" x14ac:dyDescent="0.25">
      <c r="A1565" s="585">
        <v>30091</v>
      </c>
      <c r="B1565" s="585" t="s">
        <v>2856</v>
      </c>
      <c r="C1565" s="585" t="s">
        <v>2856</v>
      </c>
    </row>
    <row r="1566" spans="1:3" x14ac:dyDescent="0.25">
      <c r="A1566" s="585">
        <v>30092</v>
      </c>
      <c r="B1566" s="585" t="s">
        <v>198</v>
      </c>
      <c r="C1566" s="585" t="s">
        <v>2287</v>
      </c>
    </row>
    <row r="1567" spans="1:3" x14ac:dyDescent="0.25">
      <c r="A1567" s="585">
        <v>30093</v>
      </c>
      <c r="B1567" s="585" t="s">
        <v>2857</v>
      </c>
      <c r="C1567" s="585" t="s">
        <v>2857</v>
      </c>
    </row>
    <row r="1568" spans="1:3" x14ac:dyDescent="0.25">
      <c r="A1568" s="585">
        <v>30094</v>
      </c>
      <c r="B1568" s="585" t="s">
        <v>2858</v>
      </c>
      <c r="C1568" s="585" t="s">
        <v>2859</v>
      </c>
    </row>
    <row r="1569" spans="1:3" x14ac:dyDescent="0.25">
      <c r="A1569" s="585">
        <v>30095</v>
      </c>
      <c r="B1569" s="585" t="s">
        <v>2860</v>
      </c>
      <c r="C1569" s="585" t="s">
        <v>2861</v>
      </c>
    </row>
    <row r="1570" spans="1:3" x14ac:dyDescent="0.25">
      <c r="A1570" s="585">
        <v>30104</v>
      </c>
      <c r="B1570" s="585" t="s">
        <v>2862</v>
      </c>
      <c r="C1570" s="585" t="s">
        <v>2863</v>
      </c>
    </row>
    <row r="1571" spans="1:3" x14ac:dyDescent="0.25">
      <c r="A1571" s="585">
        <v>30112</v>
      </c>
      <c r="B1571" s="585" t="s">
        <v>2864</v>
      </c>
      <c r="C1571" s="585" t="s">
        <v>2865</v>
      </c>
    </row>
    <row r="1572" spans="1:3" x14ac:dyDescent="0.25">
      <c r="A1572" s="585">
        <v>30121</v>
      </c>
      <c r="B1572" s="585" t="s">
        <v>2866</v>
      </c>
      <c r="C1572" s="585" t="s">
        <v>2866</v>
      </c>
    </row>
    <row r="1573" spans="1:3" x14ac:dyDescent="0.25">
      <c r="A1573" s="585">
        <v>30123</v>
      </c>
      <c r="B1573" s="585" t="s">
        <v>2867</v>
      </c>
      <c r="C1573" s="585" t="s">
        <v>2868</v>
      </c>
    </row>
    <row r="1574" spans="1:3" x14ac:dyDescent="0.25">
      <c r="A1574" s="585">
        <v>30125</v>
      </c>
      <c r="B1574" s="585" t="s">
        <v>2869</v>
      </c>
      <c r="C1574" s="585" t="s">
        <v>2870</v>
      </c>
    </row>
    <row r="1575" spans="1:3" x14ac:dyDescent="0.25">
      <c r="A1575" s="585">
        <v>30132</v>
      </c>
      <c r="B1575" s="585" t="s">
        <v>2871</v>
      </c>
      <c r="C1575" s="585" t="s">
        <v>1337</v>
      </c>
    </row>
    <row r="1576" spans="1:3" x14ac:dyDescent="0.25">
      <c r="A1576" s="585">
        <v>30148</v>
      </c>
      <c r="B1576" s="585" t="s">
        <v>2872</v>
      </c>
      <c r="C1576" s="585" t="s">
        <v>2873</v>
      </c>
    </row>
    <row r="1577" spans="1:3" x14ac:dyDescent="0.25">
      <c r="A1577" s="585">
        <v>30151</v>
      </c>
      <c r="B1577" s="585" t="s">
        <v>2874</v>
      </c>
      <c r="C1577" s="585" t="s">
        <v>2874</v>
      </c>
    </row>
    <row r="1578" spans="1:3" x14ac:dyDescent="0.25">
      <c r="A1578" s="585">
        <v>30152</v>
      </c>
      <c r="B1578" s="585" t="s">
        <v>2875</v>
      </c>
      <c r="C1578" s="585" t="s">
        <v>2876</v>
      </c>
    </row>
    <row r="1579" spans="1:3" x14ac:dyDescent="0.25">
      <c r="A1579" s="585">
        <v>30153</v>
      </c>
      <c r="B1579" s="585" t="s">
        <v>2877</v>
      </c>
      <c r="C1579" s="585" t="s">
        <v>2878</v>
      </c>
    </row>
    <row r="1580" spans="1:3" x14ac:dyDescent="0.25">
      <c r="A1580" s="585">
        <v>30166</v>
      </c>
      <c r="B1580" s="585" t="s">
        <v>2879</v>
      </c>
      <c r="C1580" s="585" t="s">
        <v>2880</v>
      </c>
    </row>
    <row r="1581" spans="1:3" x14ac:dyDescent="0.25">
      <c r="A1581" s="585">
        <v>30169</v>
      </c>
      <c r="B1581" s="585" t="s">
        <v>2881</v>
      </c>
      <c r="C1581" s="585" t="s">
        <v>2882</v>
      </c>
    </row>
    <row r="1582" spans="1:3" x14ac:dyDescent="0.25">
      <c r="A1582" s="585">
        <v>30171</v>
      </c>
      <c r="B1582" s="585" t="s">
        <v>2883</v>
      </c>
      <c r="C1582" s="585" t="s">
        <v>2883</v>
      </c>
    </row>
    <row r="1583" spans="1:3" x14ac:dyDescent="0.25">
      <c r="A1583" s="585">
        <v>30172</v>
      </c>
      <c r="B1583" s="585" t="s">
        <v>2884</v>
      </c>
      <c r="C1583" s="585" t="s">
        <v>2885</v>
      </c>
    </row>
    <row r="1584" spans="1:3" x14ac:dyDescent="0.25">
      <c r="A1584" s="585">
        <v>30183</v>
      </c>
      <c r="B1584" s="585" t="s">
        <v>2886</v>
      </c>
      <c r="C1584" s="585" t="s">
        <v>2886</v>
      </c>
    </row>
    <row r="1585" spans="1:3" x14ac:dyDescent="0.25">
      <c r="A1585" s="585">
        <v>30185</v>
      </c>
      <c r="B1585" s="585" t="s">
        <v>2887</v>
      </c>
      <c r="C1585" s="585" t="s">
        <v>2888</v>
      </c>
    </row>
    <row r="1586" spans="1:3" x14ac:dyDescent="0.25">
      <c r="A1586" s="585">
        <v>30186</v>
      </c>
      <c r="B1586" s="585" t="s">
        <v>2889</v>
      </c>
      <c r="C1586" s="585" t="s">
        <v>2889</v>
      </c>
    </row>
    <row r="1587" spans="1:3" x14ac:dyDescent="0.25">
      <c r="A1587" s="585">
        <v>30191</v>
      </c>
      <c r="B1587" s="585" t="s">
        <v>2890</v>
      </c>
      <c r="C1587" s="585" t="s">
        <v>2891</v>
      </c>
    </row>
    <row r="1588" spans="1:3" x14ac:dyDescent="0.25">
      <c r="A1588" s="585">
        <v>30199</v>
      </c>
      <c r="B1588" s="585" t="s">
        <v>2892</v>
      </c>
      <c r="C1588" s="585" t="s">
        <v>2893</v>
      </c>
    </row>
    <row r="1589" spans="1:3" x14ac:dyDescent="0.25">
      <c r="A1589" s="585">
        <v>30204</v>
      </c>
      <c r="B1589" s="585" t="s">
        <v>201</v>
      </c>
      <c r="C1589" s="585" t="s">
        <v>2715</v>
      </c>
    </row>
    <row r="1590" spans="1:3" x14ac:dyDescent="0.25">
      <c r="A1590" s="585">
        <v>30227</v>
      </c>
      <c r="B1590" s="585" t="s">
        <v>2894</v>
      </c>
      <c r="C1590" s="585" t="s">
        <v>2894</v>
      </c>
    </row>
    <row r="1591" spans="1:3" x14ac:dyDescent="0.25">
      <c r="A1591" s="585">
        <v>30242</v>
      </c>
      <c r="B1591" s="585" t="s">
        <v>2895</v>
      </c>
      <c r="C1591" s="585" t="s">
        <v>2896</v>
      </c>
    </row>
    <row r="1592" spans="1:3" x14ac:dyDescent="0.25">
      <c r="A1592" s="585">
        <v>30245</v>
      </c>
      <c r="B1592" s="585" t="s">
        <v>2897</v>
      </c>
      <c r="C1592" s="585" t="s">
        <v>2898</v>
      </c>
    </row>
    <row r="1593" spans="1:3" x14ac:dyDescent="0.25">
      <c r="A1593" s="585">
        <v>30256</v>
      </c>
      <c r="B1593" s="585" t="s">
        <v>2899</v>
      </c>
      <c r="C1593" s="585" t="s">
        <v>2900</v>
      </c>
    </row>
    <row r="1594" spans="1:3" x14ac:dyDescent="0.25">
      <c r="A1594" s="585">
        <v>30264</v>
      </c>
      <c r="B1594" s="585" t="s">
        <v>2901</v>
      </c>
      <c r="C1594" s="585" t="s">
        <v>2902</v>
      </c>
    </row>
    <row r="1595" spans="1:3" x14ac:dyDescent="0.25">
      <c r="A1595" s="585">
        <v>30265</v>
      </c>
      <c r="B1595" s="585" t="s">
        <v>2903</v>
      </c>
      <c r="C1595" s="585" t="s">
        <v>2903</v>
      </c>
    </row>
    <row r="1596" spans="1:3" x14ac:dyDescent="0.25">
      <c r="A1596" s="585">
        <v>30266</v>
      </c>
      <c r="B1596" s="585" t="s">
        <v>2904</v>
      </c>
      <c r="C1596" s="585" t="s">
        <v>2905</v>
      </c>
    </row>
    <row r="1597" spans="1:3" x14ac:dyDescent="0.25">
      <c r="A1597" s="585">
        <v>30267</v>
      </c>
      <c r="B1597" s="585" t="s">
        <v>2906</v>
      </c>
      <c r="C1597" s="585" t="s">
        <v>2907</v>
      </c>
    </row>
    <row r="1598" spans="1:3" x14ac:dyDescent="0.25">
      <c r="A1598" s="585">
        <v>30268</v>
      </c>
      <c r="B1598" s="585" t="s">
        <v>2908</v>
      </c>
      <c r="C1598" s="585" t="s">
        <v>2909</v>
      </c>
    </row>
    <row r="1599" spans="1:3" x14ac:dyDescent="0.25">
      <c r="A1599" s="585">
        <v>30271</v>
      </c>
      <c r="B1599" s="585" t="s">
        <v>2910</v>
      </c>
      <c r="C1599" s="585" t="s">
        <v>2911</v>
      </c>
    </row>
    <row r="1600" spans="1:3" x14ac:dyDescent="0.25">
      <c r="A1600" s="585">
        <v>30272</v>
      </c>
      <c r="B1600" s="585" t="s">
        <v>2912</v>
      </c>
      <c r="C1600" s="585" t="s">
        <v>2913</v>
      </c>
    </row>
    <row r="1601" spans="1:3" x14ac:dyDescent="0.25">
      <c r="A1601" s="585">
        <v>30281</v>
      </c>
      <c r="B1601" s="585" t="s">
        <v>2914</v>
      </c>
      <c r="C1601" s="585" t="s">
        <v>2915</v>
      </c>
    </row>
    <row r="1602" spans="1:3" x14ac:dyDescent="0.25">
      <c r="A1602" s="585">
        <v>30284</v>
      </c>
      <c r="B1602" s="585" t="s">
        <v>2916</v>
      </c>
      <c r="C1602" s="585" t="s">
        <v>2917</v>
      </c>
    </row>
    <row r="1603" spans="1:3" x14ac:dyDescent="0.25">
      <c r="A1603" s="585">
        <v>30285</v>
      </c>
      <c r="B1603" s="585" t="s">
        <v>2918</v>
      </c>
      <c r="C1603" s="585" t="s">
        <v>2919</v>
      </c>
    </row>
    <row r="1604" spans="1:3" x14ac:dyDescent="0.25">
      <c r="A1604" s="585">
        <v>30287</v>
      </c>
      <c r="B1604" s="585" t="s">
        <v>2920</v>
      </c>
      <c r="C1604" s="585" t="s">
        <v>2921</v>
      </c>
    </row>
    <row r="1605" spans="1:3" x14ac:dyDescent="0.25">
      <c r="A1605" s="585">
        <v>30288</v>
      </c>
      <c r="B1605" s="585" t="s">
        <v>2922</v>
      </c>
      <c r="C1605" s="585" t="s">
        <v>2922</v>
      </c>
    </row>
    <row r="1606" spans="1:3" x14ac:dyDescent="0.25">
      <c r="A1606" s="585">
        <v>30290</v>
      </c>
      <c r="B1606" s="585" t="s">
        <v>2923</v>
      </c>
      <c r="C1606" s="585" t="s">
        <v>2924</v>
      </c>
    </row>
    <row r="1607" spans="1:3" x14ac:dyDescent="0.25">
      <c r="A1607" s="585">
        <v>30296</v>
      </c>
      <c r="B1607" s="585" t="s">
        <v>2925</v>
      </c>
      <c r="C1607" s="585" t="s">
        <v>2925</v>
      </c>
    </row>
    <row r="1608" spans="1:3" x14ac:dyDescent="0.25">
      <c r="A1608" s="585">
        <v>30299</v>
      </c>
      <c r="B1608" s="585" t="s">
        <v>2926</v>
      </c>
      <c r="C1608" s="585" t="s">
        <v>2927</v>
      </c>
    </row>
    <row r="1609" spans="1:3" x14ac:dyDescent="0.25">
      <c r="A1609" s="585">
        <v>30303</v>
      </c>
      <c r="B1609" s="585" t="s">
        <v>2928</v>
      </c>
      <c r="C1609" s="585" t="s">
        <v>2929</v>
      </c>
    </row>
    <row r="1610" spans="1:3" x14ac:dyDescent="0.25">
      <c r="A1610" s="585">
        <v>30312</v>
      </c>
      <c r="B1610" s="585" t="s">
        <v>2930</v>
      </c>
      <c r="C1610" s="585" t="s">
        <v>2931</v>
      </c>
    </row>
    <row r="1611" spans="1:3" x14ac:dyDescent="0.25">
      <c r="A1611" s="585">
        <v>30313</v>
      </c>
      <c r="B1611" s="585"/>
      <c r="C1611" s="585" t="s">
        <v>2932</v>
      </c>
    </row>
    <row r="1612" spans="1:3" x14ac:dyDescent="0.25">
      <c r="A1612" s="585">
        <v>30333</v>
      </c>
      <c r="B1612" s="585" t="s">
        <v>2933</v>
      </c>
      <c r="C1612" s="585" t="s">
        <v>2933</v>
      </c>
    </row>
    <row r="1613" spans="1:3" x14ac:dyDescent="0.25">
      <c r="A1613" s="585">
        <v>30334</v>
      </c>
      <c r="B1613" s="585" t="s">
        <v>2934</v>
      </c>
      <c r="C1613" s="585" t="s">
        <v>2935</v>
      </c>
    </row>
    <row r="1614" spans="1:3" x14ac:dyDescent="0.25">
      <c r="A1614" s="585">
        <v>30338</v>
      </c>
      <c r="B1614" s="585" t="s">
        <v>2936</v>
      </c>
      <c r="C1614" s="585" t="s">
        <v>2937</v>
      </c>
    </row>
    <row r="1615" spans="1:3" x14ac:dyDescent="0.25">
      <c r="A1615" s="585">
        <v>30343</v>
      </c>
      <c r="B1615" s="585" t="s">
        <v>2938</v>
      </c>
      <c r="C1615" s="585" t="s">
        <v>2939</v>
      </c>
    </row>
    <row r="1616" spans="1:3" x14ac:dyDescent="0.25">
      <c r="A1616" s="585">
        <v>30353</v>
      </c>
      <c r="B1616" s="585" t="s">
        <v>2940</v>
      </c>
      <c r="C1616" s="585" t="s">
        <v>2941</v>
      </c>
    </row>
    <row r="1617" spans="1:3" x14ac:dyDescent="0.25">
      <c r="A1617" s="585">
        <v>30355</v>
      </c>
      <c r="B1617" s="585" t="s">
        <v>2942</v>
      </c>
      <c r="C1617" s="585" t="s">
        <v>2942</v>
      </c>
    </row>
    <row r="1618" spans="1:3" x14ac:dyDescent="0.25">
      <c r="A1618" s="585">
        <v>30369</v>
      </c>
      <c r="B1618" s="585" t="s">
        <v>2943</v>
      </c>
      <c r="C1618" s="585" t="s">
        <v>2944</v>
      </c>
    </row>
    <row r="1619" spans="1:3" x14ac:dyDescent="0.25">
      <c r="A1619" s="585">
        <v>30370</v>
      </c>
      <c r="B1619" s="585" t="s">
        <v>2945</v>
      </c>
      <c r="C1619" s="585" t="s">
        <v>2945</v>
      </c>
    </row>
    <row r="1620" spans="1:3" x14ac:dyDescent="0.25">
      <c r="A1620" s="585">
        <v>30374</v>
      </c>
      <c r="B1620" s="585" t="s">
        <v>2946</v>
      </c>
      <c r="C1620" s="585" t="s">
        <v>2946</v>
      </c>
    </row>
    <row r="1621" spans="1:3" x14ac:dyDescent="0.25">
      <c r="A1621" s="585">
        <v>30382</v>
      </c>
      <c r="B1621" s="585" t="s">
        <v>2947</v>
      </c>
      <c r="C1621" s="585" t="s">
        <v>2948</v>
      </c>
    </row>
    <row r="1622" spans="1:3" x14ac:dyDescent="0.25">
      <c r="A1622" s="585">
        <v>30394</v>
      </c>
      <c r="B1622" s="585" t="s">
        <v>2949</v>
      </c>
      <c r="C1622" s="585" t="s">
        <v>2950</v>
      </c>
    </row>
    <row r="1623" spans="1:3" x14ac:dyDescent="0.25">
      <c r="A1623" s="585">
        <v>30396</v>
      </c>
      <c r="B1623" s="585" t="s">
        <v>2951</v>
      </c>
      <c r="C1623" s="585" t="s">
        <v>2951</v>
      </c>
    </row>
    <row r="1624" spans="1:3" x14ac:dyDescent="0.25">
      <c r="A1624" s="585">
        <v>30399</v>
      </c>
      <c r="B1624" s="585" t="s">
        <v>2952</v>
      </c>
      <c r="C1624" s="585" t="s">
        <v>2952</v>
      </c>
    </row>
    <row r="1625" spans="1:3" x14ac:dyDescent="0.25">
      <c r="A1625" s="585">
        <v>30400</v>
      </c>
      <c r="B1625" s="585"/>
      <c r="C1625" s="585" t="s">
        <v>3345</v>
      </c>
    </row>
    <row r="1626" spans="1:3" x14ac:dyDescent="0.25">
      <c r="A1626" s="585">
        <v>30404</v>
      </c>
      <c r="B1626" s="585" t="s">
        <v>2953</v>
      </c>
      <c r="C1626" s="585" t="s">
        <v>2954</v>
      </c>
    </row>
    <row r="1627" spans="1:3" x14ac:dyDescent="0.25">
      <c r="A1627" s="585">
        <v>30415</v>
      </c>
      <c r="B1627" s="585" t="s">
        <v>2955</v>
      </c>
      <c r="C1627" s="585" t="s">
        <v>2956</v>
      </c>
    </row>
    <row r="1628" spans="1:3" x14ac:dyDescent="0.25">
      <c r="A1628" s="585">
        <v>30420</v>
      </c>
      <c r="B1628" s="585" t="s">
        <v>2435</v>
      </c>
      <c r="C1628" s="585" t="s">
        <v>2435</v>
      </c>
    </row>
    <row r="1629" spans="1:3" x14ac:dyDescent="0.25">
      <c r="A1629" s="585">
        <v>30431</v>
      </c>
      <c r="B1629" s="585" t="s">
        <v>2957</v>
      </c>
      <c r="C1629" s="585" t="s">
        <v>2958</v>
      </c>
    </row>
    <row r="1630" spans="1:3" x14ac:dyDescent="0.25">
      <c r="A1630" s="585">
        <v>30445</v>
      </c>
      <c r="B1630" s="585" t="s">
        <v>2959</v>
      </c>
      <c r="C1630" s="585" t="s">
        <v>2960</v>
      </c>
    </row>
    <row r="1631" spans="1:3" x14ac:dyDescent="0.25">
      <c r="A1631" s="585">
        <v>30447</v>
      </c>
      <c r="B1631" s="585" t="s">
        <v>2961</v>
      </c>
      <c r="C1631" s="585" t="s">
        <v>2962</v>
      </c>
    </row>
    <row r="1632" spans="1:3" x14ac:dyDescent="0.25">
      <c r="A1632" s="585">
        <v>30450</v>
      </c>
      <c r="B1632" s="585" t="s">
        <v>2963</v>
      </c>
      <c r="C1632" s="585" t="s">
        <v>2964</v>
      </c>
    </row>
    <row r="1633" spans="1:3" x14ac:dyDescent="0.25">
      <c r="A1633" s="585">
        <v>30451</v>
      </c>
      <c r="B1633" s="585" t="s">
        <v>2965</v>
      </c>
      <c r="C1633" s="585" t="s">
        <v>2965</v>
      </c>
    </row>
    <row r="1634" spans="1:3" x14ac:dyDescent="0.25">
      <c r="A1634" s="585">
        <v>30453</v>
      </c>
      <c r="B1634" s="585" t="s">
        <v>2966</v>
      </c>
      <c r="C1634" s="585" t="s">
        <v>2967</v>
      </c>
    </row>
    <row r="1635" spans="1:3" x14ac:dyDescent="0.25">
      <c r="A1635" s="585">
        <v>30454</v>
      </c>
      <c r="B1635" s="585" t="s">
        <v>2968</v>
      </c>
      <c r="C1635" s="585" t="s">
        <v>2969</v>
      </c>
    </row>
    <row r="1636" spans="1:3" x14ac:dyDescent="0.25">
      <c r="A1636" s="585">
        <v>30458</v>
      </c>
      <c r="B1636" s="585" t="s">
        <v>2970</v>
      </c>
      <c r="C1636" s="585" t="s">
        <v>2970</v>
      </c>
    </row>
    <row r="1637" spans="1:3" x14ac:dyDescent="0.25">
      <c r="A1637" s="585">
        <v>30460</v>
      </c>
      <c r="B1637" s="585"/>
      <c r="C1637" s="585" t="s">
        <v>3346</v>
      </c>
    </row>
    <row r="1638" spans="1:3" x14ac:dyDescent="0.25">
      <c r="A1638" s="585">
        <v>30468</v>
      </c>
      <c r="B1638" s="585"/>
      <c r="C1638" s="585" t="s">
        <v>3347</v>
      </c>
    </row>
    <row r="1639" spans="1:3" x14ac:dyDescent="0.25">
      <c r="A1639" s="585">
        <v>30469</v>
      </c>
      <c r="B1639" s="585"/>
      <c r="C1639" s="585" t="s">
        <v>3348</v>
      </c>
    </row>
    <row r="1640" spans="1:3" x14ac:dyDescent="0.25">
      <c r="A1640" s="585">
        <v>30473</v>
      </c>
      <c r="B1640" s="585" t="s">
        <v>2971</v>
      </c>
      <c r="C1640" s="585" t="s">
        <v>2972</v>
      </c>
    </row>
    <row r="1641" spans="1:3" x14ac:dyDescent="0.25">
      <c r="A1641" s="585">
        <v>30477</v>
      </c>
      <c r="B1641" s="585"/>
      <c r="C1641" s="585" t="s">
        <v>3349</v>
      </c>
    </row>
    <row r="1642" spans="1:3" x14ac:dyDescent="0.25">
      <c r="A1642" s="585">
        <v>30478</v>
      </c>
      <c r="B1642" s="585" t="s">
        <v>2973</v>
      </c>
      <c r="C1642" s="585" t="s">
        <v>2974</v>
      </c>
    </row>
    <row r="1643" spans="1:3" x14ac:dyDescent="0.25">
      <c r="A1643" s="585">
        <v>30479</v>
      </c>
      <c r="B1643" s="585" t="s">
        <v>2975</v>
      </c>
      <c r="C1643" s="585" t="s">
        <v>2976</v>
      </c>
    </row>
    <row r="1644" spans="1:3" x14ac:dyDescent="0.25">
      <c r="A1644" s="585">
        <v>30501</v>
      </c>
      <c r="B1644" s="585" t="s">
        <v>2977</v>
      </c>
      <c r="C1644" s="585" t="s">
        <v>2977</v>
      </c>
    </row>
    <row r="1645" spans="1:3" x14ac:dyDescent="0.25">
      <c r="A1645" s="585">
        <v>30502</v>
      </c>
      <c r="B1645" s="585" t="s">
        <v>2978</v>
      </c>
      <c r="C1645" s="585" t="s">
        <v>2979</v>
      </c>
    </row>
    <row r="1646" spans="1:3" x14ac:dyDescent="0.25">
      <c r="A1646" s="585">
        <v>30518</v>
      </c>
      <c r="B1646" s="585" t="s">
        <v>2980</v>
      </c>
      <c r="C1646" s="585" t="s">
        <v>2981</v>
      </c>
    </row>
    <row r="1647" spans="1:3" x14ac:dyDescent="0.25">
      <c r="A1647" s="585">
        <v>30525</v>
      </c>
      <c r="B1647" s="585" t="s">
        <v>2982</v>
      </c>
      <c r="C1647" s="585" t="s">
        <v>2982</v>
      </c>
    </row>
    <row r="1648" spans="1:3" x14ac:dyDescent="0.25">
      <c r="A1648" s="585">
        <v>30526</v>
      </c>
      <c r="B1648" s="585" t="s">
        <v>2181</v>
      </c>
      <c r="C1648" s="585" t="s">
        <v>2182</v>
      </c>
    </row>
    <row r="1649" spans="1:3" x14ac:dyDescent="0.25">
      <c r="A1649" s="585">
        <v>30539</v>
      </c>
      <c r="B1649" s="585" t="s">
        <v>2983</v>
      </c>
      <c r="C1649" s="585" t="s">
        <v>2983</v>
      </c>
    </row>
    <row r="1650" spans="1:3" x14ac:dyDescent="0.25">
      <c r="A1650" s="585">
        <v>30541</v>
      </c>
      <c r="B1650" s="585"/>
      <c r="C1650" s="585" t="s">
        <v>3350</v>
      </c>
    </row>
    <row r="1651" spans="1:3" x14ac:dyDescent="0.25">
      <c r="A1651" s="585">
        <v>30543</v>
      </c>
      <c r="B1651" s="585" t="s">
        <v>2984</v>
      </c>
      <c r="C1651" s="585" t="s">
        <v>2985</v>
      </c>
    </row>
    <row r="1652" spans="1:3" x14ac:dyDescent="0.25">
      <c r="A1652" s="585">
        <v>30550</v>
      </c>
      <c r="B1652" s="585" t="s">
        <v>2986</v>
      </c>
      <c r="C1652" s="585" t="s">
        <v>2987</v>
      </c>
    </row>
    <row r="1653" spans="1:3" x14ac:dyDescent="0.25">
      <c r="A1653" s="585">
        <v>30561</v>
      </c>
      <c r="B1653" s="585" t="s">
        <v>2988</v>
      </c>
      <c r="C1653" s="585" t="s">
        <v>1259</v>
      </c>
    </row>
    <row r="1654" spans="1:3" x14ac:dyDescent="0.25">
      <c r="A1654" s="585">
        <v>30577</v>
      </c>
      <c r="B1654" s="585" t="s">
        <v>2989</v>
      </c>
      <c r="C1654" s="585" t="s">
        <v>2990</v>
      </c>
    </row>
    <row r="1655" spans="1:3" x14ac:dyDescent="0.25">
      <c r="A1655" s="585">
        <v>30583</v>
      </c>
      <c r="B1655" s="585" t="s">
        <v>2991</v>
      </c>
      <c r="C1655" s="585" t="s">
        <v>2992</v>
      </c>
    </row>
    <row r="1656" spans="1:3" x14ac:dyDescent="0.25">
      <c r="A1656" s="585">
        <v>30583</v>
      </c>
      <c r="B1656" s="585" t="s">
        <v>2991</v>
      </c>
      <c r="C1656" s="585" t="s">
        <v>2991</v>
      </c>
    </row>
    <row r="1657" spans="1:3" x14ac:dyDescent="0.25">
      <c r="A1657" s="585">
        <v>30590</v>
      </c>
      <c r="B1657" s="585" t="s">
        <v>2057</v>
      </c>
      <c r="C1657" s="585" t="s">
        <v>2057</v>
      </c>
    </row>
    <row r="1658" spans="1:3" x14ac:dyDescent="0.25">
      <c r="A1658" s="585">
        <v>30592</v>
      </c>
      <c r="B1658" s="585" t="s">
        <v>1880</v>
      </c>
      <c r="C1658" s="585" t="s">
        <v>2993</v>
      </c>
    </row>
    <row r="1659" spans="1:3" x14ac:dyDescent="0.25">
      <c r="A1659" s="585">
        <v>30597</v>
      </c>
      <c r="B1659" s="585" t="s">
        <v>2994</v>
      </c>
      <c r="C1659" s="585" t="s">
        <v>2995</v>
      </c>
    </row>
    <row r="1660" spans="1:3" x14ac:dyDescent="0.25">
      <c r="A1660" s="585">
        <v>30598</v>
      </c>
      <c r="B1660" s="585" t="s">
        <v>2996</v>
      </c>
      <c r="C1660" s="585" t="s">
        <v>2996</v>
      </c>
    </row>
    <row r="1661" spans="1:3" x14ac:dyDescent="0.25">
      <c r="A1661" s="585">
        <v>30608</v>
      </c>
      <c r="B1661" s="585" t="s">
        <v>2997</v>
      </c>
      <c r="C1661" s="585" t="s">
        <v>2997</v>
      </c>
    </row>
    <row r="1662" spans="1:3" x14ac:dyDescent="0.25">
      <c r="A1662" s="585">
        <v>30621</v>
      </c>
      <c r="B1662" s="585" t="s">
        <v>2998</v>
      </c>
      <c r="C1662" s="585" t="s">
        <v>2999</v>
      </c>
    </row>
    <row r="1663" spans="1:3" x14ac:dyDescent="0.25">
      <c r="A1663" s="585">
        <v>30622</v>
      </c>
      <c r="B1663" s="585" t="s">
        <v>3000</v>
      </c>
      <c r="C1663" s="585" t="s">
        <v>3001</v>
      </c>
    </row>
    <row r="1664" spans="1:3" x14ac:dyDescent="0.25">
      <c r="A1664" s="585">
        <v>30634</v>
      </c>
      <c r="B1664" s="585" t="s">
        <v>3002</v>
      </c>
      <c r="C1664" s="585" t="s">
        <v>3002</v>
      </c>
    </row>
    <row r="1665" spans="1:3" x14ac:dyDescent="0.25">
      <c r="A1665" s="585">
        <v>30640</v>
      </c>
      <c r="B1665" s="585" t="s">
        <v>3003</v>
      </c>
      <c r="C1665" s="585" t="s">
        <v>3004</v>
      </c>
    </row>
    <row r="1666" spans="1:3" x14ac:dyDescent="0.25">
      <c r="A1666" s="585">
        <v>30642</v>
      </c>
      <c r="B1666" s="585" t="s">
        <v>3005</v>
      </c>
      <c r="C1666" s="585" t="s">
        <v>3006</v>
      </c>
    </row>
    <row r="1667" spans="1:3" x14ac:dyDescent="0.25">
      <c r="A1667" s="585">
        <v>30650</v>
      </c>
      <c r="B1667" s="585" t="s">
        <v>3007</v>
      </c>
      <c r="C1667" s="585" t="s">
        <v>3008</v>
      </c>
    </row>
    <row r="1668" spans="1:3" x14ac:dyDescent="0.25">
      <c r="A1668" s="585">
        <v>30677</v>
      </c>
      <c r="B1668" s="585" t="s">
        <v>3009</v>
      </c>
      <c r="C1668" s="585" t="s">
        <v>3009</v>
      </c>
    </row>
    <row r="1669" spans="1:3" x14ac:dyDescent="0.25">
      <c r="A1669" s="585">
        <v>30683</v>
      </c>
      <c r="B1669" s="585" t="s">
        <v>3010</v>
      </c>
      <c r="C1669" s="585" t="s">
        <v>3011</v>
      </c>
    </row>
    <row r="1670" spans="1:3" x14ac:dyDescent="0.25">
      <c r="A1670" s="585">
        <v>30687</v>
      </c>
      <c r="B1670" s="585" t="s">
        <v>3012</v>
      </c>
      <c r="C1670" s="585" t="s">
        <v>3013</v>
      </c>
    </row>
    <row r="1671" spans="1:3" x14ac:dyDescent="0.25">
      <c r="A1671" s="585">
        <v>30689</v>
      </c>
      <c r="B1671" s="585" t="s">
        <v>3014</v>
      </c>
      <c r="C1671" s="585" t="s">
        <v>3015</v>
      </c>
    </row>
    <row r="1672" spans="1:3" x14ac:dyDescent="0.25">
      <c r="A1672" s="585">
        <v>30723</v>
      </c>
      <c r="B1672" s="585" t="s">
        <v>3016</v>
      </c>
      <c r="C1672" s="585" t="s">
        <v>3017</v>
      </c>
    </row>
    <row r="1673" spans="1:3" x14ac:dyDescent="0.25">
      <c r="A1673" s="585">
        <v>30724</v>
      </c>
      <c r="B1673" s="585" t="s">
        <v>3018</v>
      </c>
      <c r="C1673" s="585" t="s">
        <v>3019</v>
      </c>
    </row>
    <row r="1674" spans="1:3" x14ac:dyDescent="0.25">
      <c r="A1674" s="585">
        <v>30728</v>
      </c>
      <c r="B1674" s="585" t="s">
        <v>3020</v>
      </c>
      <c r="C1674" s="585" t="s">
        <v>3021</v>
      </c>
    </row>
    <row r="1675" spans="1:3" x14ac:dyDescent="0.25">
      <c r="A1675" s="585">
        <v>30749</v>
      </c>
      <c r="B1675" s="585" t="s">
        <v>3351</v>
      </c>
      <c r="C1675" s="585" t="s">
        <v>3352</v>
      </c>
    </row>
    <row r="1676" spans="1:3" x14ac:dyDescent="0.25">
      <c r="A1676" s="585">
        <v>30757</v>
      </c>
      <c r="B1676" s="585" t="s">
        <v>3022</v>
      </c>
      <c r="C1676" s="585" t="s">
        <v>3023</v>
      </c>
    </row>
    <row r="1677" spans="1:3" x14ac:dyDescent="0.25">
      <c r="A1677" s="585">
        <v>30782</v>
      </c>
      <c r="B1677" s="585" t="s">
        <v>3024</v>
      </c>
      <c r="C1677" s="585" t="s">
        <v>3025</v>
      </c>
    </row>
    <row r="1678" spans="1:3" x14ac:dyDescent="0.25">
      <c r="A1678" s="585">
        <v>30813</v>
      </c>
      <c r="B1678" s="585" t="s">
        <v>3026</v>
      </c>
      <c r="C1678" s="585" t="s">
        <v>3026</v>
      </c>
    </row>
    <row r="1679" spans="1:3" x14ac:dyDescent="0.25">
      <c r="A1679" s="585">
        <v>30814</v>
      </c>
      <c r="B1679" s="585" t="s">
        <v>3027</v>
      </c>
      <c r="C1679" s="585" t="s">
        <v>3027</v>
      </c>
    </row>
    <row r="1680" spans="1:3" x14ac:dyDescent="0.25">
      <c r="A1680" s="585">
        <v>30819</v>
      </c>
      <c r="B1680" s="585" t="s">
        <v>3028</v>
      </c>
      <c r="C1680" s="585" t="s">
        <v>3029</v>
      </c>
    </row>
    <row r="1681" spans="1:3" x14ac:dyDescent="0.25">
      <c r="A1681" s="585">
        <v>30827</v>
      </c>
      <c r="B1681" s="585" t="s">
        <v>3030</v>
      </c>
      <c r="C1681" s="585" t="s">
        <v>3031</v>
      </c>
    </row>
    <row r="1682" spans="1:3" x14ac:dyDescent="0.25">
      <c r="A1682" s="585">
        <v>30830</v>
      </c>
      <c r="B1682" s="585" t="s">
        <v>3032</v>
      </c>
      <c r="C1682" s="585" t="s">
        <v>3033</v>
      </c>
    </row>
    <row r="1683" spans="1:3" x14ac:dyDescent="0.25">
      <c r="A1683" s="585">
        <v>30833</v>
      </c>
      <c r="B1683" s="585" t="s">
        <v>3034</v>
      </c>
      <c r="C1683" s="585" t="s">
        <v>3035</v>
      </c>
    </row>
    <row r="1684" spans="1:3" x14ac:dyDescent="0.25">
      <c r="A1684" s="585">
        <v>30838</v>
      </c>
      <c r="B1684" s="585" t="s">
        <v>3036</v>
      </c>
      <c r="C1684" s="585" t="s">
        <v>3031</v>
      </c>
    </row>
    <row r="1685" spans="1:3" x14ac:dyDescent="0.25">
      <c r="A1685" s="585">
        <v>30840</v>
      </c>
      <c r="B1685" s="585" t="s">
        <v>3037</v>
      </c>
      <c r="C1685" s="585" t="s">
        <v>3038</v>
      </c>
    </row>
    <row r="1686" spans="1:3" x14ac:dyDescent="0.25">
      <c r="A1686" s="585">
        <v>30842</v>
      </c>
      <c r="B1686" s="585" t="s">
        <v>3039</v>
      </c>
      <c r="C1686" s="585" t="s">
        <v>3040</v>
      </c>
    </row>
    <row r="1687" spans="1:3" x14ac:dyDescent="0.25">
      <c r="A1687" s="585">
        <v>30847</v>
      </c>
      <c r="B1687" s="585" t="s">
        <v>3041</v>
      </c>
      <c r="C1687" s="585" t="s">
        <v>3042</v>
      </c>
    </row>
    <row r="1688" spans="1:3" x14ac:dyDescent="0.25">
      <c r="A1688" s="585">
        <v>30848</v>
      </c>
      <c r="B1688" s="585" t="s">
        <v>3043</v>
      </c>
      <c r="C1688" s="585" t="s">
        <v>3043</v>
      </c>
    </row>
    <row r="1689" spans="1:3" x14ac:dyDescent="0.25">
      <c r="A1689" s="585">
        <v>30850</v>
      </c>
      <c r="B1689" s="585" t="s">
        <v>3044</v>
      </c>
      <c r="C1689" s="585" t="s">
        <v>3045</v>
      </c>
    </row>
    <row r="1690" spans="1:3" x14ac:dyDescent="0.25">
      <c r="A1690" s="585">
        <v>30851</v>
      </c>
      <c r="B1690" s="585" t="s">
        <v>3046</v>
      </c>
      <c r="C1690" s="585" t="s">
        <v>3046</v>
      </c>
    </row>
    <row r="1691" spans="1:3" x14ac:dyDescent="0.25">
      <c r="A1691" s="585">
        <v>30862</v>
      </c>
      <c r="B1691" s="585" t="s">
        <v>3047</v>
      </c>
      <c r="C1691" s="585" t="s">
        <v>3048</v>
      </c>
    </row>
    <row r="1692" spans="1:3" x14ac:dyDescent="0.25">
      <c r="A1692" s="585">
        <v>30863</v>
      </c>
      <c r="B1692" s="585" t="s">
        <v>3049</v>
      </c>
      <c r="C1692" s="585" t="s">
        <v>3050</v>
      </c>
    </row>
    <row r="1693" spans="1:3" x14ac:dyDescent="0.25">
      <c r="A1693" s="585">
        <v>30866</v>
      </c>
      <c r="B1693" s="585" t="s">
        <v>3051</v>
      </c>
      <c r="C1693" s="585" t="s">
        <v>3052</v>
      </c>
    </row>
    <row r="1694" spans="1:3" x14ac:dyDescent="0.25">
      <c r="A1694" s="585">
        <v>30887</v>
      </c>
      <c r="B1694" s="585" t="s">
        <v>3053</v>
      </c>
      <c r="C1694" s="585" t="s">
        <v>3054</v>
      </c>
    </row>
    <row r="1695" spans="1:3" x14ac:dyDescent="0.25">
      <c r="A1695" s="585">
        <v>30919</v>
      </c>
      <c r="B1695" s="585" t="s">
        <v>3055</v>
      </c>
      <c r="C1695" s="585" t="s">
        <v>3056</v>
      </c>
    </row>
    <row r="1696" spans="1:3" x14ac:dyDescent="0.25">
      <c r="A1696" s="585">
        <v>30935</v>
      </c>
      <c r="B1696" s="585" t="s">
        <v>3057</v>
      </c>
      <c r="C1696" s="585" t="s">
        <v>3058</v>
      </c>
    </row>
    <row r="1697" spans="1:3" x14ac:dyDescent="0.25">
      <c r="A1697" s="585">
        <v>30940</v>
      </c>
      <c r="B1697" s="585" t="s">
        <v>3059</v>
      </c>
      <c r="C1697" s="585" t="s">
        <v>3060</v>
      </c>
    </row>
    <row r="1698" spans="1:3" x14ac:dyDescent="0.25">
      <c r="A1698" s="585">
        <v>30950</v>
      </c>
      <c r="B1698" s="585" t="s">
        <v>3061</v>
      </c>
      <c r="C1698" s="585" t="s">
        <v>3062</v>
      </c>
    </row>
    <row r="1699" spans="1:3" x14ac:dyDescent="0.25">
      <c r="A1699" s="585">
        <v>30954</v>
      </c>
      <c r="B1699" s="585" t="s">
        <v>3063</v>
      </c>
      <c r="C1699" s="585" t="s">
        <v>3064</v>
      </c>
    </row>
    <row r="1700" spans="1:3" x14ac:dyDescent="0.25">
      <c r="A1700" s="585">
        <v>30961</v>
      </c>
      <c r="B1700" s="585"/>
      <c r="C1700" s="585" t="s">
        <v>3065</v>
      </c>
    </row>
    <row r="1701" spans="1:3" x14ac:dyDescent="0.25">
      <c r="A1701" s="585">
        <v>30975</v>
      </c>
      <c r="B1701" s="585" t="s">
        <v>3066</v>
      </c>
      <c r="C1701" s="585" t="s">
        <v>3067</v>
      </c>
    </row>
    <row r="1702" spans="1:3" x14ac:dyDescent="0.25">
      <c r="A1702" s="585">
        <v>30977</v>
      </c>
      <c r="B1702" s="585" t="s">
        <v>3068</v>
      </c>
      <c r="C1702" s="585" t="s">
        <v>3069</v>
      </c>
    </row>
    <row r="1703" spans="1:3" x14ac:dyDescent="0.25">
      <c r="A1703" s="585">
        <v>30983</v>
      </c>
      <c r="B1703" s="585" t="s">
        <v>3070</v>
      </c>
      <c r="C1703" s="585" t="s">
        <v>3071</v>
      </c>
    </row>
    <row r="1704" spans="1:3" x14ac:dyDescent="0.25">
      <c r="A1704" s="585">
        <v>30994</v>
      </c>
      <c r="B1704" s="585" t="s">
        <v>3072</v>
      </c>
      <c r="C1704" s="585" t="s">
        <v>3073</v>
      </c>
    </row>
    <row r="1705" spans="1:3" x14ac:dyDescent="0.25">
      <c r="A1705" s="585">
        <v>30998</v>
      </c>
      <c r="B1705" s="585" t="s">
        <v>3074</v>
      </c>
      <c r="C1705" s="585" t="s">
        <v>3075</v>
      </c>
    </row>
    <row r="1706" spans="1:3" x14ac:dyDescent="0.25">
      <c r="A1706" s="585">
        <v>31007</v>
      </c>
      <c r="B1706" s="585" t="s">
        <v>3076</v>
      </c>
      <c r="C1706" s="585" t="s">
        <v>3077</v>
      </c>
    </row>
    <row r="1707" spans="1:3" x14ac:dyDescent="0.25">
      <c r="A1707" s="585">
        <v>31023</v>
      </c>
      <c r="B1707" s="585"/>
      <c r="C1707" s="585" t="s">
        <v>3078</v>
      </c>
    </row>
    <row r="1708" spans="1:3" x14ac:dyDescent="0.25">
      <c r="A1708" s="585">
        <v>31034</v>
      </c>
      <c r="B1708" s="585" t="s">
        <v>3079</v>
      </c>
      <c r="C1708" s="585" t="s">
        <v>3080</v>
      </c>
    </row>
    <row r="1709" spans="1:3" x14ac:dyDescent="0.25">
      <c r="A1709" s="585">
        <v>31034</v>
      </c>
      <c r="B1709" s="585" t="s">
        <v>3081</v>
      </c>
      <c r="C1709" s="585" t="s">
        <v>3082</v>
      </c>
    </row>
    <row r="1710" spans="1:3" x14ac:dyDescent="0.25">
      <c r="A1710" s="585">
        <v>31042</v>
      </c>
      <c r="B1710" s="585" t="s">
        <v>3083</v>
      </c>
      <c r="C1710" s="585" t="s">
        <v>3083</v>
      </c>
    </row>
    <row r="1711" spans="1:3" x14ac:dyDescent="0.25">
      <c r="A1711" s="585">
        <v>31044</v>
      </c>
      <c r="B1711" s="585"/>
      <c r="C1711" s="585" t="s">
        <v>3084</v>
      </c>
    </row>
    <row r="1712" spans="1:3" x14ac:dyDescent="0.25">
      <c r="A1712" s="585">
        <v>31050</v>
      </c>
      <c r="B1712" s="585" t="s">
        <v>3085</v>
      </c>
      <c r="C1712" s="585" t="s">
        <v>3086</v>
      </c>
    </row>
    <row r="1713" spans="1:3" x14ac:dyDescent="0.25">
      <c r="A1713" s="585">
        <v>31051</v>
      </c>
      <c r="B1713" s="585" t="s">
        <v>3087</v>
      </c>
      <c r="C1713" s="585" t="s">
        <v>3088</v>
      </c>
    </row>
    <row r="1714" spans="1:3" x14ac:dyDescent="0.25">
      <c r="A1714" s="585">
        <v>31089</v>
      </c>
      <c r="B1714" s="585" t="s">
        <v>3089</v>
      </c>
      <c r="C1714" s="585" t="s">
        <v>3090</v>
      </c>
    </row>
    <row r="1715" spans="1:3" x14ac:dyDescent="0.25">
      <c r="A1715" s="585">
        <v>31130</v>
      </c>
      <c r="B1715" s="585"/>
      <c r="C1715" s="585" t="s">
        <v>3091</v>
      </c>
    </row>
    <row r="1716" spans="1:3" x14ac:dyDescent="0.25">
      <c r="A1716" s="585">
        <v>31142</v>
      </c>
      <c r="B1716" s="585" t="s">
        <v>3092</v>
      </c>
      <c r="C1716" s="585" t="s">
        <v>1126</v>
      </c>
    </row>
    <row r="1717" spans="1:3" x14ac:dyDescent="0.25">
      <c r="A1717" s="585">
        <v>31144</v>
      </c>
      <c r="B1717" s="585" t="s">
        <v>3093</v>
      </c>
      <c r="C1717" s="585" t="s">
        <v>3094</v>
      </c>
    </row>
    <row r="1718" spans="1:3" x14ac:dyDescent="0.25">
      <c r="A1718" s="585">
        <v>31153</v>
      </c>
      <c r="B1718" s="585" t="s">
        <v>3095</v>
      </c>
      <c r="C1718" s="585" t="s">
        <v>3096</v>
      </c>
    </row>
    <row r="1719" spans="1:3" x14ac:dyDescent="0.25">
      <c r="A1719" s="585">
        <v>31189</v>
      </c>
      <c r="B1719" s="585" t="s">
        <v>3097</v>
      </c>
      <c r="C1719" s="585" t="s">
        <v>3098</v>
      </c>
    </row>
    <row r="1720" spans="1:3" x14ac:dyDescent="0.25">
      <c r="A1720" s="585">
        <v>31206</v>
      </c>
      <c r="B1720" s="585" t="s">
        <v>3099</v>
      </c>
      <c r="C1720" s="585" t="s">
        <v>3100</v>
      </c>
    </row>
    <row r="1721" spans="1:3" x14ac:dyDescent="0.25">
      <c r="A1721" s="585">
        <v>31216</v>
      </c>
      <c r="B1721" s="585" t="s">
        <v>3101</v>
      </c>
      <c r="C1721" s="585" t="s">
        <v>3102</v>
      </c>
    </row>
    <row r="1722" spans="1:3" x14ac:dyDescent="0.25">
      <c r="A1722" s="585">
        <v>31249</v>
      </c>
      <c r="B1722" s="585"/>
      <c r="C1722" s="585" t="s">
        <v>3103</v>
      </c>
    </row>
    <row r="1723" spans="1:3" x14ac:dyDescent="0.25">
      <c r="A1723" s="585">
        <v>31265</v>
      </c>
      <c r="B1723" s="585" t="s">
        <v>3104</v>
      </c>
      <c r="C1723" s="585" t="s">
        <v>3105</v>
      </c>
    </row>
    <row r="1724" spans="1:3" x14ac:dyDescent="0.25">
      <c r="A1724" s="585">
        <v>31268</v>
      </c>
      <c r="B1724" s="585" t="s">
        <v>3106</v>
      </c>
      <c r="C1724" s="585" t="s">
        <v>3107</v>
      </c>
    </row>
    <row r="1725" spans="1:3" x14ac:dyDescent="0.25">
      <c r="A1725" s="585">
        <v>31277</v>
      </c>
      <c r="B1725" s="585" t="s">
        <v>3108</v>
      </c>
      <c r="C1725" s="585" t="s">
        <v>3109</v>
      </c>
    </row>
    <row r="1726" spans="1:3" x14ac:dyDescent="0.25">
      <c r="A1726" s="585">
        <v>31281</v>
      </c>
      <c r="B1726" s="585"/>
      <c r="C1726" s="585" t="s">
        <v>3110</v>
      </c>
    </row>
    <row r="1727" spans="1:3" x14ac:dyDescent="0.25">
      <c r="A1727" s="585">
        <v>31302</v>
      </c>
      <c r="B1727" s="585"/>
      <c r="C1727" s="585" t="s">
        <v>3353</v>
      </c>
    </row>
    <row r="1728" spans="1:3" x14ac:dyDescent="0.25">
      <c r="A1728" s="585">
        <v>31334</v>
      </c>
      <c r="B1728" s="585" t="s">
        <v>3111</v>
      </c>
      <c r="C1728" s="585" t="s">
        <v>3112</v>
      </c>
    </row>
    <row r="1729" spans="1:3" x14ac:dyDescent="0.25">
      <c r="A1729" s="585">
        <v>31413</v>
      </c>
      <c r="B1729" s="585"/>
      <c r="C1729" s="585" t="s">
        <v>3113</v>
      </c>
    </row>
    <row r="1730" spans="1:3" x14ac:dyDescent="0.25">
      <c r="A1730" s="585">
        <v>31430</v>
      </c>
      <c r="B1730" s="585" t="s">
        <v>3114</v>
      </c>
      <c r="C1730" s="585" t="s">
        <v>3115</v>
      </c>
    </row>
    <row r="1731" spans="1:3" x14ac:dyDescent="0.25">
      <c r="A1731" s="585">
        <v>31436</v>
      </c>
      <c r="B1731" s="585" t="s">
        <v>3116</v>
      </c>
      <c r="C1731" s="585" t="s">
        <v>3116</v>
      </c>
    </row>
    <row r="1732" spans="1:3" x14ac:dyDescent="0.25">
      <c r="A1732" s="585">
        <v>31471</v>
      </c>
      <c r="B1732" s="585" t="s">
        <v>3117</v>
      </c>
      <c r="C1732" s="585" t="s">
        <v>3117</v>
      </c>
    </row>
    <row r="1733" spans="1:3" x14ac:dyDescent="0.25">
      <c r="A1733" s="585">
        <v>31635</v>
      </c>
      <c r="B1733" s="585" t="s">
        <v>3118</v>
      </c>
      <c r="C1733" s="585" t="s">
        <v>3118</v>
      </c>
    </row>
    <row r="1734" spans="1:3" x14ac:dyDescent="0.25">
      <c r="A1734" s="585">
        <v>31641</v>
      </c>
      <c r="B1734" s="585"/>
      <c r="C1734" s="585" t="s">
        <v>3119</v>
      </c>
    </row>
    <row r="1735" spans="1:3" x14ac:dyDescent="0.25">
      <c r="A1735" s="585">
        <v>31760</v>
      </c>
      <c r="B1735" s="585"/>
      <c r="C1735" s="585" t="s">
        <v>3120</v>
      </c>
    </row>
    <row r="1736" spans="1:3" x14ac:dyDescent="0.25">
      <c r="A1736" s="585">
        <v>31793</v>
      </c>
      <c r="B1736" s="585" t="s">
        <v>3121</v>
      </c>
      <c r="C1736" s="585" t="s">
        <v>3121</v>
      </c>
    </row>
    <row r="1737" spans="1:3" x14ac:dyDescent="0.25">
      <c r="A1737" s="585">
        <v>99999999999996</v>
      </c>
      <c r="B1737" s="585" t="s">
        <v>3122</v>
      </c>
      <c r="C1737" s="585" t="s">
        <v>3122</v>
      </c>
    </row>
    <row r="1738" spans="1:3" x14ac:dyDescent="0.25">
      <c r="A1738" s="585">
        <v>99999999999997</v>
      </c>
      <c r="B1738" s="585" t="s">
        <v>3123</v>
      </c>
      <c r="C1738" s="585" t="s">
        <v>3124</v>
      </c>
    </row>
    <row r="1739" spans="1:3" x14ac:dyDescent="0.25">
      <c r="A1739" s="585">
        <v>99999999999998</v>
      </c>
      <c r="B1739" s="585" t="s">
        <v>2307</v>
      </c>
      <c r="C1739" s="585" t="s">
        <v>2308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tabColor theme="4" tint="-0.249977111117893"/>
  </sheetPr>
  <dimension ref="A1:AR307"/>
  <sheetViews>
    <sheetView showGridLines="0" zoomScaleNormal="100" workbookViewId="0">
      <selection activeCell="M55" sqref="M55"/>
    </sheetView>
  </sheetViews>
  <sheetFormatPr defaultColWidth="9.140625" defaultRowHeight="12.75" x14ac:dyDescent="0.2"/>
  <cols>
    <col min="1" max="1" width="0.28515625" style="2" customWidth="1"/>
    <col min="2" max="2" width="21.42578125" style="2" customWidth="1"/>
    <col min="3" max="13" width="16.5703125" style="2" customWidth="1"/>
    <col min="14" max="15" width="12.85546875" style="2" customWidth="1"/>
    <col min="16" max="16" width="1.28515625" style="2" customWidth="1"/>
    <col min="17" max="17" width="15.140625" style="2" customWidth="1"/>
    <col min="18" max="16384" width="9.140625" style="2"/>
  </cols>
  <sheetData>
    <row r="1" spans="2:14" x14ac:dyDescent="0.2">
      <c r="F1" s="23"/>
      <c r="G1" s="22"/>
      <c r="H1" s="23"/>
    </row>
    <row r="2" spans="2:14" x14ac:dyDescent="0.2">
      <c r="B2" s="1" t="s">
        <v>140</v>
      </c>
      <c r="C2" s="1"/>
      <c r="F2" s="24" t="s">
        <v>62</v>
      </c>
      <c r="G2" s="9">
        <v>1</v>
      </c>
      <c r="H2" s="1"/>
    </row>
    <row r="3" spans="2:14" ht="12.75" customHeight="1" x14ac:dyDescent="0.2">
      <c r="B3" s="1"/>
      <c r="C3" s="1"/>
      <c r="F3" s="24" t="s">
        <v>63</v>
      </c>
      <c r="G3" s="31">
        <v>44216</v>
      </c>
      <c r="H3" s="1"/>
    </row>
    <row r="4" spans="2:14" ht="3.75" customHeight="1" x14ac:dyDescent="0.2">
      <c r="B4" s="1"/>
      <c r="C4" s="1"/>
    </row>
    <row r="5" spans="2:14" x14ac:dyDescent="0.2">
      <c r="B5" s="1" t="s">
        <v>3220</v>
      </c>
      <c r="C5" s="1"/>
      <c r="G5" s="1"/>
      <c r="H5" s="1"/>
    </row>
    <row r="6" spans="2:14" ht="2.25" customHeight="1" x14ac:dyDescent="0.2">
      <c r="C6" s="1"/>
    </row>
    <row r="7" spans="2:14" x14ac:dyDescent="0.2">
      <c r="B7" s="753" t="s">
        <v>141</v>
      </c>
      <c r="C7" s="753"/>
      <c r="D7" s="753"/>
      <c r="E7" s="753"/>
      <c r="F7" s="753"/>
      <c r="G7" s="753"/>
      <c r="H7" s="753"/>
      <c r="I7" s="753"/>
      <c r="J7" s="753"/>
      <c r="K7" s="753"/>
      <c r="L7" s="753"/>
      <c r="M7" s="753"/>
      <c r="N7" s="753"/>
    </row>
    <row r="8" spans="2:14" x14ac:dyDescent="0.2">
      <c r="B8" s="754" t="s">
        <v>142</v>
      </c>
      <c r="C8" s="719" t="s">
        <v>143</v>
      </c>
      <c r="D8" s="719"/>
      <c r="E8" s="719"/>
      <c r="F8" s="719"/>
      <c r="G8" s="719"/>
      <c r="H8" s="719"/>
      <c r="I8" s="719"/>
      <c r="J8" s="719"/>
      <c r="K8" s="719"/>
      <c r="L8" s="719"/>
      <c r="M8" s="719"/>
      <c r="N8" s="719"/>
    </row>
    <row r="9" spans="2:14" x14ac:dyDescent="0.2">
      <c r="B9" s="754"/>
      <c r="C9" s="344" t="s">
        <v>144</v>
      </c>
      <c r="D9" s="344" t="s">
        <v>145</v>
      </c>
      <c r="E9" s="344" t="s">
        <v>146</v>
      </c>
      <c r="F9" s="344" t="s">
        <v>147</v>
      </c>
      <c r="G9" s="344" t="s">
        <v>148</v>
      </c>
      <c r="H9" s="344" t="s">
        <v>149</v>
      </c>
      <c r="I9" s="344" t="s">
        <v>150</v>
      </c>
      <c r="J9" s="344" t="s">
        <v>151</v>
      </c>
      <c r="K9" s="344" t="s">
        <v>152</v>
      </c>
      <c r="L9" s="344" t="s">
        <v>153</v>
      </c>
      <c r="M9" s="344" t="s">
        <v>154</v>
      </c>
      <c r="N9" s="344" t="s">
        <v>155</v>
      </c>
    </row>
    <row r="10" spans="2:14" x14ac:dyDescent="0.2">
      <c r="B10" s="43" t="s">
        <v>53</v>
      </c>
      <c r="C10" s="70">
        <f>SUM(C11:C16)</f>
        <v>14630.603999999999</v>
      </c>
      <c r="D10" s="70">
        <f t="shared" ref="D10:N10" si="0">SUM(D11:D16)</f>
        <v>13387.532999999999</v>
      </c>
      <c r="E10" s="70">
        <f t="shared" si="0"/>
        <v>13048.244000000001</v>
      </c>
      <c r="F10" s="70">
        <f t="shared" si="0"/>
        <v>12129.044</v>
      </c>
      <c r="G10" s="70">
        <f t="shared" si="0"/>
        <v>10328.582</v>
      </c>
      <c r="H10" s="70">
        <f t="shared" si="0"/>
        <v>10661.17</v>
      </c>
      <c r="I10" s="70">
        <f t="shared" si="0"/>
        <v>10894.707</v>
      </c>
      <c r="J10" s="70">
        <f t="shared" si="0"/>
        <v>11053.191000000001</v>
      </c>
      <c r="K10" s="70">
        <f t="shared" si="0"/>
        <v>10415.445</v>
      </c>
      <c r="L10" s="70">
        <f t="shared" si="0"/>
        <v>11578.732</v>
      </c>
      <c r="M10" s="70">
        <f t="shared" si="0"/>
        <v>14408.183999999999</v>
      </c>
      <c r="N10" s="70">
        <f t="shared" si="0"/>
        <v>12881.127</v>
      </c>
    </row>
    <row r="11" spans="2:14" x14ac:dyDescent="0.2">
      <c r="B11" s="43" t="s">
        <v>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B12" s="43" t="s">
        <v>156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B13" s="43" t="s">
        <v>157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B14" s="43" t="s">
        <v>158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B15" s="43" t="s">
        <v>159</v>
      </c>
      <c r="C15" s="8">
        <v>2892.8980000000001</v>
      </c>
      <c r="D15" s="8">
        <v>2914.12</v>
      </c>
      <c r="E15" s="8">
        <v>2876.36</v>
      </c>
      <c r="F15" s="8">
        <v>2835.3130000000001</v>
      </c>
      <c r="G15" s="8">
        <v>2386.3890000000001</v>
      </c>
      <c r="H15" s="8">
        <v>2211.134</v>
      </c>
      <c r="I15" s="8">
        <v>2212.58</v>
      </c>
      <c r="J15" s="8">
        <v>2485.6790000000001</v>
      </c>
      <c r="K15" s="8">
        <v>2276.1320000000001</v>
      </c>
      <c r="L15" s="8">
        <v>2534.0439999999999</v>
      </c>
      <c r="M15" s="8">
        <v>4939.2759999999998</v>
      </c>
      <c r="N15" s="8">
        <v>2784.404</v>
      </c>
    </row>
    <row r="16" spans="2:14" x14ac:dyDescent="0.2">
      <c r="B16" s="43" t="s">
        <v>160</v>
      </c>
      <c r="C16" s="8">
        <v>11737.706</v>
      </c>
      <c r="D16" s="8">
        <v>10473.413</v>
      </c>
      <c r="E16" s="8">
        <v>10171.884</v>
      </c>
      <c r="F16" s="8">
        <v>9293.7309999999998</v>
      </c>
      <c r="G16" s="8">
        <v>7942.1930000000002</v>
      </c>
      <c r="H16" s="8">
        <v>8450.0360000000001</v>
      </c>
      <c r="I16" s="8">
        <v>8682.1270000000004</v>
      </c>
      <c r="J16" s="8">
        <v>8567.5120000000006</v>
      </c>
      <c r="K16" s="8">
        <v>8139.3130000000001</v>
      </c>
      <c r="L16" s="8">
        <v>9044.6880000000001</v>
      </c>
      <c r="M16" s="8">
        <v>9468.9079999999994</v>
      </c>
      <c r="N16" s="8">
        <v>10096.723</v>
      </c>
    </row>
    <row r="17" spans="2:14" x14ac:dyDescent="0.2">
      <c r="B17" s="43" t="s">
        <v>6</v>
      </c>
      <c r="C17" s="70">
        <f>SUM(C14:C15)</f>
        <v>2892.8980000000001</v>
      </c>
      <c r="D17" s="70">
        <f t="shared" ref="D17:N17" si="1">SUM(D14:D15)</f>
        <v>2914.12</v>
      </c>
      <c r="E17" s="70">
        <f t="shared" si="1"/>
        <v>2876.36</v>
      </c>
      <c r="F17" s="70">
        <f t="shared" si="1"/>
        <v>2835.3130000000001</v>
      </c>
      <c r="G17" s="70">
        <f t="shared" si="1"/>
        <v>2386.3890000000001</v>
      </c>
      <c r="H17" s="70">
        <f t="shared" si="1"/>
        <v>2211.134</v>
      </c>
      <c r="I17" s="70">
        <f t="shared" si="1"/>
        <v>2212.58</v>
      </c>
      <c r="J17" s="70">
        <f t="shared" si="1"/>
        <v>2485.6790000000001</v>
      </c>
      <c r="K17" s="70">
        <f t="shared" si="1"/>
        <v>2276.1320000000001</v>
      </c>
      <c r="L17" s="70">
        <f t="shared" si="1"/>
        <v>2534.0439999999999</v>
      </c>
      <c r="M17" s="70">
        <f t="shared" si="1"/>
        <v>4939.2759999999998</v>
      </c>
      <c r="N17" s="70">
        <f t="shared" si="1"/>
        <v>2784.404</v>
      </c>
    </row>
    <row r="19" spans="2:14" ht="5.25" customHeight="1" x14ac:dyDescent="0.2">
      <c r="C19" s="1"/>
    </row>
    <row r="20" spans="2:14" x14ac:dyDescent="0.2">
      <c r="B20" s="1" t="s">
        <v>3225</v>
      </c>
      <c r="C20" s="1"/>
    </row>
    <row r="21" spans="2:14" ht="3" customHeight="1" x14ac:dyDescent="0.2">
      <c r="B21" s="1"/>
      <c r="C21" s="1"/>
    </row>
    <row r="22" spans="2:14" x14ac:dyDescent="0.2">
      <c r="B22" s="753" t="s">
        <v>141</v>
      </c>
      <c r="C22" s="753"/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3"/>
    </row>
    <row r="23" spans="2:14" x14ac:dyDescent="0.2">
      <c r="B23" s="754" t="s">
        <v>142</v>
      </c>
      <c r="C23" s="719" t="s">
        <v>161</v>
      </c>
      <c r="D23" s="719"/>
      <c r="E23" s="719"/>
      <c r="F23" s="719"/>
      <c r="G23" s="719"/>
      <c r="H23" s="719"/>
      <c r="I23" s="719"/>
      <c r="J23" s="719"/>
      <c r="K23" s="719"/>
      <c r="L23" s="719"/>
      <c r="M23" s="719"/>
      <c r="N23" s="719"/>
    </row>
    <row r="24" spans="2:14" x14ac:dyDescent="0.2">
      <c r="B24" s="754"/>
      <c r="C24" s="507" t="s">
        <v>144</v>
      </c>
      <c r="D24" s="507" t="s">
        <v>145</v>
      </c>
      <c r="E24" s="507" t="s">
        <v>146</v>
      </c>
      <c r="F24" s="507" t="s">
        <v>147</v>
      </c>
      <c r="G24" s="507" t="s">
        <v>148</v>
      </c>
      <c r="H24" s="507" t="s">
        <v>149</v>
      </c>
      <c r="I24" s="507" t="s">
        <v>150</v>
      </c>
      <c r="J24" s="507" t="s">
        <v>151</v>
      </c>
      <c r="K24" s="507" t="s">
        <v>152</v>
      </c>
      <c r="L24" s="507" t="s">
        <v>153</v>
      </c>
      <c r="M24" s="507" t="s">
        <v>154</v>
      </c>
      <c r="N24" s="507" t="s">
        <v>155</v>
      </c>
    </row>
    <row r="25" spans="2:14" x14ac:dyDescent="0.2">
      <c r="B25" s="43" t="s">
        <v>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2:14" x14ac:dyDescent="0.2">
      <c r="B26" s="43" t="s">
        <v>156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2:14" x14ac:dyDescent="0.2">
      <c r="B27" s="43" t="s">
        <v>157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4" x14ac:dyDescent="0.2">
      <c r="B28" s="43" t="s">
        <v>158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4" x14ac:dyDescent="0.2">
      <c r="B29" s="43" t="s">
        <v>159</v>
      </c>
      <c r="C29" s="706">
        <v>425.93585128689375</v>
      </c>
      <c r="D29" s="706">
        <v>1054.5421477622699</v>
      </c>
      <c r="E29" s="706">
        <v>84.585917625664678</v>
      </c>
      <c r="F29" s="706">
        <v>609.8229214777499</v>
      </c>
      <c r="G29" s="706">
        <v>899.05273006116613</v>
      </c>
      <c r="H29" s="706">
        <v>1553.3689947792591</v>
      </c>
      <c r="I29" s="706">
        <v>1391.9276803192095</v>
      </c>
      <c r="J29" s="706">
        <v>1718.0620838824398</v>
      </c>
      <c r="K29" s="706">
        <v>1840.1603472589463</v>
      </c>
      <c r="L29" s="706">
        <v>1378.9818757406997</v>
      </c>
      <c r="M29" s="706">
        <v>999.15177221168142</v>
      </c>
      <c r="N29" s="706">
        <v>1456.1414170440712</v>
      </c>
    </row>
    <row r="30" spans="2:14" x14ac:dyDescent="0.2">
      <c r="B30" s="43" t="s">
        <v>160</v>
      </c>
      <c r="C30" s="706">
        <v>227.339</v>
      </c>
      <c r="D30" s="706">
        <v>200.346</v>
      </c>
      <c r="E30" s="706">
        <v>251.67599999999999</v>
      </c>
      <c r="F30" s="706">
        <v>255.18</v>
      </c>
      <c r="G30" s="706">
        <v>230.49</v>
      </c>
      <c r="H30" s="706">
        <v>181.14599999999999</v>
      </c>
      <c r="I30" s="706">
        <v>139.44300000000001</v>
      </c>
      <c r="J30" s="706">
        <v>226.05799999999999</v>
      </c>
      <c r="K30" s="706">
        <v>268.52699999999999</v>
      </c>
      <c r="L30" s="706">
        <v>322.63600000000002</v>
      </c>
      <c r="M30" s="706">
        <v>386.505</v>
      </c>
      <c r="N30" s="706">
        <v>344.24200000000002</v>
      </c>
    </row>
    <row r="31" spans="2:14" ht="3.75" customHeight="1" x14ac:dyDescent="0.2">
      <c r="C31" s="1"/>
    </row>
    <row r="34" spans="2:44" x14ac:dyDescent="0.2">
      <c r="B34" s="1" t="s">
        <v>3226</v>
      </c>
    </row>
    <row r="35" spans="2:44" ht="3" customHeight="1" x14ac:dyDescent="0.2">
      <c r="B35" s="1"/>
    </row>
    <row r="36" spans="2:44" ht="12.75" customHeight="1" x14ac:dyDescent="0.2">
      <c r="B36" s="766" t="s">
        <v>142</v>
      </c>
      <c r="C36" s="763" t="s">
        <v>3575</v>
      </c>
      <c r="D36" s="508" t="s">
        <v>3126</v>
      </c>
      <c r="E36" s="757" t="s">
        <v>168</v>
      </c>
      <c r="F36" s="758"/>
      <c r="G36" s="759"/>
      <c r="H36" s="755" t="s">
        <v>174</v>
      </c>
      <c r="I36" s="755"/>
      <c r="J36" s="755"/>
      <c r="K36" s="756" t="s">
        <v>177</v>
      </c>
      <c r="L36" s="756"/>
      <c r="M36" s="760" t="s">
        <v>645</v>
      </c>
      <c r="N36" s="761"/>
      <c r="O36" s="762"/>
      <c r="Q36" s="322" t="s">
        <v>646</v>
      </c>
    </row>
    <row r="37" spans="2:44" x14ac:dyDescent="0.2">
      <c r="B37" s="767"/>
      <c r="C37" s="764"/>
      <c r="D37" s="508" t="s">
        <v>176</v>
      </c>
      <c r="E37" s="509" t="s">
        <v>169</v>
      </c>
      <c r="F37" s="509" t="s">
        <v>171</v>
      </c>
      <c r="G37" s="509" t="s">
        <v>178</v>
      </c>
      <c r="H37" s="510" t="s">
        <v>176</v>
      </c>
      <c r="I37" s="510" t="s">
        <v>172</v>
      </c>
      <c r="J37" s="510" t="s">
        <v>173</v>
      </c>
      <c r="K37" s="511" t="s">
        <v>176</v>
      </c>
      <c r="L37" s="511" t="s">
        <v>178</v>
      </c>
      <c r="M37" s="512" t="s">
        <v>169</v>
      </c>
      <c r="N37" s="512" t="s">
        <v>171</v>
      </c>
      <c r="O37" s="512" t="s">
        <v>178</v>
      </c>
      <c r="Q37" s="322" t="s">
        <v>178</v>
      </c>
    </row>
    <row r="38" spans="2:44" x14ac:dyDescent="0.2">
      <c r="B38" s="768"/>
      <c r="C38" s="765"/>
      <c r="D38" s="513" t="s">
        <v>170</v>
      </c>
      <c r="E38" s="514" t="s">
        <v>170</v>
      </c>
      <c r="F38" s="514" t="s">
        <v>170</v>
      </c>
      <c r="G38" s="514" t="s">
        <v>175</v>
      </c>
      <c r="H38" s="515" t="s">
        <v>170</v>
      </c>
      <c r="I38" s="515" t="s">
        <v>175</v>
      </c>
      <c r="J38" s="515" t="s">
        <v>175</v>
      </c>
      <c r="K38" s="516" t="s">
        <v>170</v>
      </c>
      <c r="L38" s="516" t="s">
        <v>175</v>
      </c>
      <c r="M38" s="517" t="s">
        <v>170</v>
      </c>
      <c r="N38" s="517" t="s">
        <v>170</v>
      </c>
      <c r="O38" s="517" t="s">
        <v>175</v>
      </c>
      <c r="Q38" s="518" t="s">
        <v>175</v>
      </c>
    </row>
    <row r="39" spans="2:44" x14ac:dyDescent="0.2">
      <c r="B39" s="25" t="s">
        <v>4</v>
      </c>
      <c r="C39" s="221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Q39" s="219">
        <f>O39+L39+J39+I39+G39</f>
        <v>0</v>
      </c>
      <c r="T39" s="628"/>
    </row>
    <row r="40" spans="2:44" x14ac:dyDescent="0.2">
      <c r="B40" s="25" t="s">
        <v>156</v>
      </c>
      <c r="C40" s="221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Q40" s="219">
        <f t="shared" ref="Q40:Q51" si="2">O40+L40+J40+I40+G40</f>
        <v>0</v>
      </c>
      <c r="T40" s="628"/>
    </row>
    <row r="41" spans="2:44" x14ac:dyDescent="0.2">
      <c r="B41" s="26" t="s">
        <v>157</v>
      </c>
      <c r="C41" s="221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Q41" s="219">
        <f t="shared" si="2"/>
        <v>0</v>
      </c>
      <c r="T41" s="628"/>
    </row>
    <row r="42" spans="2:44" x14ac:dyDescent="0.2">
      <c r="B42" s="26" t="s">
        <v>158</v>
      </c>
      <c r="C42" s="221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Q42" s="219">
        <f t="shared" si="2"/>
        <v>0</v>
      </c>
      <c r="T42" s="628"/>
    </row>
    <row r="43" spans="2:44" x14ac:dyDescent="0.2">
      <c r="B43" s="26" t="s">
        <v>159</v>
      </c>
      <c r="C43" s="221">
        <v>86</v>
      </c>
      <c r="D43" s="222">
        <v>38400</v>
      </c>
      <c r="E43" s="222">
        <v>3116</v>
      </c>
      <c r="F43" s="222">
        <v>4190</v>
      </c>
      <c r="G43" s="222">
        <v>1137.587</v>
      </c>
      <c r="H43" s="222">
        <v>145188</v>
      </c>
      <c r="I43" s="222">
        <v>2425.1239999999993</v>
      </c>
      <c r="J43" s="222">
        <v>30894.433999999994</v>
      </c>
      <c r="K43" s="222"/>
      <c r="L43" s="222"/>
      <c r="M43" s="222"/>
      <c r="N43" s="222"/>
      <c r="O43" s="222"/>
      <c r="Q43" s="219">
        <f t="shared" si="2"/>
        <v>34457.14499999999</v>
      </c>
      <c r="T43" s="628"/>
    </row>
    <row r="44" spans="2:44" x14ac:dyDescent="0.2">
      <c r="B44" s="26" t="s">
        <v>19</v>
      </c>
      <c r="C44" s="221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Q44" s="219">
        <f t="shared" si="2"/>
        <v>0</v>
      </c>
      <c r="T44" s="628"/>
    </row>
    <row r="45" spans="2:44" x14ac:dyDescent="0.2">
      <c r="B45" s="26" t="s">
        <v>349</v>
      </c>
      <c r="C45" s="223">
        <v>31297</v>
      </c>
      <c r="D45" s="222"/>
      <c r="E45" s="222"/>
      <c r="F45" s="222"/>
      <c r="G45" s="222"/>
      <c r="H45" s="222"/>
      <c r="I45" s="222"/>
      <c r="J45" s="222"/>
      <c r="K45" s="222"/>
      <c r="L45" s="222">
        <v>79771.467000000019</v>
      </c>
      <c r="M45" s="222"/>
      <c r="N45" s="222"/>
      <c r="O45" s="222"/>
      <c r="Q45" s="219">
        <f t="shared" si="2"/>
        <v>79771.467000000019</v>
      </c>
      <c r="T45" s="628"/>
      <c r="AR45" s="2">
        <v>11956754</v>
      </c>
    </row>
    <row r="46" spans="2:44" x14ac:dyDescent="0.2">
      <c r="B46" s="26" t="s">
        <v>350</v>
      </c>
      <c r="C46" s="223">
        <v>7</v>
      </c>
      <c r="D46" s="222"/>
      <c r="E46" s="222"/>
      <c r="F46" s="222"/>
      <c r="G46" s="222"/>
      <c r="H46" s="222"/>
      <c r="I46" s="222"/>
      <c r="J46" s="222"/>
      <c r="K46" s="222"/>
      <c r="L46" s="222">
        <v>25.001000000000001</v>
      </c>
      <c r="M46" s="222"/>
      <c r="N46" s="222"/>
      <c r="O46" s="222"/>
      <c r="Q46" s="219">
        <f t="shared" si="2"/>
        <v>25.001000000000001</v>
      </c>
      <c r="T46" s="628"/>
    </row>
    <row r="47" spans="2:44" x14ac:dyDescent="0.2">
      <c r="B47" s="26" t="s">
        <v>352</v>
      </c>
      <c r="C47" s="714">
        <v>3510</v>
      </c>
      <c r="D47" s="222"/>
      <c r="E47" s="222"/>
      <c r="F47" s="222"/>
      <c r="G47" s="222"/>
      <c r="H47" s="222"/>
      <c r="I47" s="222"/>
      <c r="J47" s="222"/>
      <c r="K47" s="222"/>
      <c r="L47" s="222">
        <v>25583.13</v>
      </c>
      <c r="M47" s="222"/>
      <c r="N47" s="222"/>
      <c r="O47" s="222"/>
      <c r="Q47" s="219">
        <f t="shared" si="2"/>
        <v>25583.13</v>
      </c>
      <c r="T47" s="628"/>
    </row>
    <row r="48" spans="2:44" x14ac:dyDescent="0.2">
      <c r="B48" s="26" t="s">
        <v>351</v>
      </c>
      <c r="C48" s="223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Q48" s="219">
        <f t="shared" si="2"/>
        <v>0</v>
      </c>
      <c r="T48" s="628"/>
    </row>
    <row r="49" spans="2:20" x14ac:dyDescent="0.2">
      <c r="B49" s="26" t="s">
        <v>593</v>
      </c>
      <c r="C49" s="223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Q49" s="219">
        <f t="shared" si="2"/>
        <v>0</v>
      </c>
      <c r="T49" s="628"/>
    </row>
    <row r="50" spans="2:20" x14ac:dyDescent="0.2">
      <c r="B50" s="26" t="s">
        <v>348</v>
      </c>
      <c r="C50" s="223">
        <v>1</v>
      </c>
      <c r="D50" s="222"/>
      <c r="E50" s="222"/>
      <c r="F50" s="222"/>
      <c r="G50" s="222"/>
      <c r="H50" s="222"/>
      <c r="I50" s="222"/>
      <c r="J50" s="222"/>
      <c r="K50" s="222"/>
      <c r="L50" s="222">
        <v>6278.527</v>
      </c>
      <c r="M50" s="222"/>
      <c r="N50" s="222"/>
      <c r="O50" s="222"/>
      <c r="Q50" s="219">
        <f t="shared" si="2"/>
        <v>6278.527</v>
      </c>
      <c r="T50" s="628"/>
    </row>
    <row r="51" spans="2:20" x14ac:dyDescent="0.2">
      <c r="B51" s="26" t="s">
        <v>160</v>
      </c>
      <c r="C51" s="223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Q51" s="219">
        <f t="shared" si="2"/>
        <v>0</v>
      </c>
      <c r="T51" s="628"/>
    </row>
    <row r="53" spans="2:20" x14ac:dyDescent="0.2">
      <c r="L53" s="628"/>
    </row>
    <row r="54" spans="2:20" x14ac:dyDescent="0.2">
      <c r="L54" s="628"/>
    </row>
    <row r="300" spans="1:3" x14ac:dyDescent="0.2">
      <c r="A300" s="2" t="s">
        <v>633</v>
      </c>
      <c r="B300" s="2" t="s">
        <v>634</v>
      </c>
      <c r="C300" s="2">
        <v>11956754</v>
      </c>
    </row>
    <row r="301" spans="1:3" x14ac:dyDescent="0.2">
      <c r="A301" s="2" t="s">
        <v>635</v>
      </c>
      <c r="B301" s="2" t="s">
        <v>636</v>
      </c>
      <c r="C301" s="2">
        <v>54633</v>
      </c>
    </row>
    <row r="302" spans="1:3" x14ac:dyDescent="0.2">
      <c r="A302" s="2" t="s">
        <v>637</v>
      </c>
      <c r="B302" s="2" t="s">
        <v>638</v>
      </c>
      <c r="C302" s="2">
        <v>605546</v>
      </c>
    </row>
    <row r="303" spans="1:3" x14ac:dyDescent="0.2">
      <c r="A303" s="2" t="s">
        <v>637</v>
      </c>
      <c r="B303" s="2" t="s">
        <v>639</v>
      </c>
      <c r="C303" s="2">
        <v>968</v>
      </c>
    </row>
    <row r="304" spans="1:3" x14ac:dyDescent="0.2">
      <c r="A304" s="2" t="s">
        <v>637</v>
      </c>
      <c r="B304" s="2" t="s">
        <v>640</v>
      </c>
      <c r="C304" s="2">
        <v>36966</v>
      </c>
    </row>
    <row r="305" spans="1:3" x14ac:dyDescent="0.2">
      <c r="A305" s="2" t="s">
        <v>637</v>
      </c>
      <c r="B305" s="2" t="s">
        <v>641</v>
      </c>
      <c r="C305" s="2">
        <v>61198</v>
      </c>
    </row>
    <row r="306" spans="1:3" x14ac:dyDescent="0.2">
      <c r="A306" s="2" t="s">
        <v>637</v>
      </c>
      <c r="B306" s="2" t="s">
        <v>642</v>
      </c>
      <c r="C306" s="2">
        <v>7052</v>
      </c>
    </row>
    <row r="307" spans="1:3" x14ac:dyDescent="0.2">
      <c r="A307" s="2" t="s">
        <v>643</v>
      </c>
      <c r="B307" s="2" t="s">
        <v>644</v>
      </c>
      <c r="C307" s="2">
        <v>15185</v>
      </c>
    </row>
  </sheetData>
  <mergeCells count="12">
    <mergeCell ref="B22:N22"/>
    <mergeCell ref="B7:N7"/>
    <mergeCell ref="B8:B9"/>
    <mergeCell ref="C8:N8"/>
    <mergeCell ref="H36:J36"/>
    <mergeCell ref="K36:L36"/>
    <mergeCell ref="B23:B24"/>
    <mergeCell ref="C23:N23"/>
    <mergeCell ref="E36:G36"/>
    <mergeCell ref="M36:O36"/>
    <mergeCell ref="C36:C38"/>
    <mergeCell ref="B36:B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carrBDL">
          <controlPr defaultSize="0" autoLine="0" r:id="rId5">
            <anchor moveWithCells="1">
              <from>
                <xdr:col>3</xdr:col>
                <xdr:colOff>0</xdr:colOff>
                <xdr:row>32</xdr:row>
                <xdr:rowOff>28575</xdr:rowOff>
              </from>
              <to>
                <xdr:col>4</xdr:col>
                <xdr:colOff>666750</xdr:colOff>
                <xdr:row>34</xdr:row>
                <xdr:rowOff>19050</xdr:rowOff>
              </to>
            </anchor>
          </controlPr>
        </control>
      </mc:Choice>
      <mc:Fallback>
        <control shapeId="6149" r:id="rId4" name="carrBDL"/>
      </mc:Fallback>
    </mc:AlternateContent>
    <mc:AlternateContent xmlns:mc="http://schemas.openxmlformats.org/markup-compatibility/2006">
      <mc:Choice Requires="x14">
        <control shapeId="6150" r:id="rId6" name="gerarXML">
          <controlPr defaultSize="0" autoLine="0" r:id="rId7">
            <anchor moveWithCells="1">
              <from>
                <xdr:col>4</xdr:col>
                <xdr:colOff>552450</xdr:colOff>
                <xdr:row>32</xdr:row>
                <xdr:rowOff>19050</xdr:rowOff>
              </from>
              <to>
                <xdr:col>5</xdr:col>
                <xdr:colOff>1095375</xdr:colOff>
                <xdr:row>33</xdr:row>
                <xdr:rowOff>152400</xdr:rowOff>
              </to>
            </anchor>
          </controlPr>
        </control>
      </mc:Choice>
      <mc:Fallback>
        <control shapeId="6150" r:id="rId6" name="gerarXML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-0.249977111117893"/>
  </sheetPr>
  <dimension ref="B1:O31"/>
  <sheetViews>
    <sheetView showGridLines="0" topLeftCell="A4" zoomScaleNormal="100" workbookViewId="0">
      <selection activeCell="H4" sqref="H4"/>
    </sheetView>
  </sheetViews>
  <sheetFormatPr defaultColWidth="9.140625" defaultRowHeight="12.75" x14ac:dyDescent="0.2"/>
  <cols>
    <col min="1" max="1" width="0.5703125" style="2" customWidth="1"/>
    <col min="2" max="2" width="21.85546875" style="2" customWidth="1"/>
    <col min="3" max="3" width="10.7109375" style="2" customWidth="1"/>
    <col min="4" max="4" width="13.7109375" style="2" customWidth="1"/>
    <col min="5" max="5" width="1.140625" style="2" customWidth="1"/>
    <col min="6" max="6" width="17.140625" style="2" customWidth="1"/>
    <col min="7" max="7" width="13.28515625" style="2" customWidth="1"/>
    <col min="8" max="8" width="14.7109375" style="2" bestFit="1" customWidth="1"/>
    <col min="9" max="9" width="14.5703125" style="2" customWidth="1"/>
    <col min="10" max="10" width="15.140625" style="2" customWidth="1"/>
    <col min="11" max="11" width="13.28515625" style="2" customWidth="1"/>
    <col min="12" max="12" width="13.7109375" style="2" customWidth="1"/>
    <col min="13" max="13" width="1" style="2" customWidth="1"/>
    <col min="14" max="14" width="13.5703125" style="2" customWidth="1"/>
    <col min="15" max="15" width="11.85546875" style="2" customWidth="1"/>
    <col min="16" max="16384" width="9.140625" style="2"/>
  </cols>
  <sheetData>
    <row r="1" spans="2:15" x14ac:dyDescent="0.2">
      <c r="B1" s="1" t="s">
        <v>3232</v>
      </c>
      <c r="G1" s="22" t="s">
        <v>65</v>
      </c>
      <c r="H1" s="22" t="s">
        <v>786</v>
      </c>
      <c r="I1" s="23"/>
    </row>
    <row r="2" spans="2:15" x14ac:dyDescent="0.2">
      <c r="B2" s="1" t="s">
        <v>3231</v>
      </c>
      <c r="C2" s="1"/>
      <c r="F2" s="24" t="s">
        <v>62</v>
      </c>
      <c r="G2" s="9">
        <v>1</v>
      </c>
      <c r="H2" s="9">
        <v>1</v>
      </c>
      <c r="I2" s="23"/>
    </row>
    <row r="3" spans="2:15" ht="12.75" customHeight="1" x14ac:dyDescent="0.2">
      <c r="B3" s="147" t="s">
        <v>3233</v>
      </c>
      <c r="C3" s="1"/>
      <c r="F3" s="24" t="s">
        <v>63</v>
      </c>
      <c r="G3" s="31">
        <v>44537</v>
      </c>
      <c r="H3" s="31">
        <v>44537</v>
      </c>
      <c r="I3" s="23"/>
    </row>
    <row r="4" spans="2:15" ht="3.75" customHeight="1" x14ac:dyDescent="0.2">
      <c r="B4" s="1"/>
      <c r="C4" s="1"/>
    </row>
    <row r="5" spans="2:15" x14ac:dyDescent="0.2">
      <c r="B5" s="1" t="s">
        <v>106</v>
      </c>
      <c r="C5" s="1"/>
      <c r="G5" s="1"/>
      <c r="H5" s="1" t="s">
        <v>107</v>
      </c>
    </row>
    <row r="6" spans="2:15" ht="2.25" customHeight="1" x14ac:dyDescent="0.2">
      <c r="C6" s="1"/>
    </row>
    <row r="7" spans="2:15" s="1" customFormat="1" ht="25.5" x14ac:dyDescent="0.2">
      <c r="B7" s="24" t="s">
        <v>58</v>
      </c>
      <c r="C7" s="24" t="s">
        <v>57</v>
      </c>
      <c r="D7" s="24" t="s">
        <v>60</v>
      </c>
      <c r="F7" s="24" t="s">
        <v>74</v>
      </c>
      <c r="G7" s="2"/>
      <c r="H7" s="24" t="s">
        <v>58</v>
      </c>
      <c r="I7" s="24" t="s">
        <v>76</v>
      </c>
      <c r="J7" s="24" t="s">
        <v>77</v>
      </c>
      <c r="K7" s="24" t="s">
        <v>78</v>
      </c>
      <c r="L7" s="24" t="s">
        <v>79</v>
      </c>
      <c r="M7" s="2"/>
      <c r="N7" s="24" t="s">
        <v>3482</v>
      </c>
      <c r="O7" s="24" t="s">
        <v>74</v>
      </c>
    </row>
    <row r="8" spans="2:15" s="1" customFormat="1" x14ac:dyDescent="0.2">
      <c r="B8" s="24"/>
      <c r="C8" s="24" t="s">
        <v>59</v>
      </c>
      <c r="D8" s="239" t="s">
        <v>61</v>
      </c>
      <c r="F8" s="239" t="s">
        <v>75</v>
      </c>
      <c r="G8" s="2"/>
      <c r="H8" s="24"/>
      <c r="I8" s="24" t="s">
        <v>59</v>
      </c>
      <c r="J8" s="24" t="s">
        <v>59</v>
      </c>
      <c r="K8" s="239" t="s">
        <v>87</v>
      </c>
      <c r="L8" s="239" t="s">
        <v>80</v>
      </c>
      <c r="M8" s="2"/>
      <c r="N8" s="239" t="s">
        <v>91</v>
      </c>
      <c r="O8" s="239" t="s">
        <v>90</v>
      </c>
    </row>
    <row r="9" spans="2:15" x14ac:dyDescent="0.2">
      <c r="B9" s="25" t="s">
        <v>56</v>
      </c>
      <c r="C9" s="27" t="s">
        <v>66</v>
      </c>
      <c r="D9" s="614"/>
      <c r="F9" s="614"/>
      <c r="H9" s="28" t="s">
        <v>51</v>
      </c>
      <c r="I9" s="27" t="s">
        <v>81</v>
      </c>
      <c r="J9" s="27">
        <v>69</v>
      </c>
      <c r="K9" s="617"/>
      <c r="L9" s="8"/>
      <c r="N9" s="8"/>
      <c r="O9" s="8"/>
    </row>
    <row r="10" spans="2:15" x14ac:dyDescent="0.2">
      <c r="B10" s="25" t="s">
        <v>7</v>
      </c>
      <c r="C10" s="27">
        <v>138</v>
      </c>
      <c r="D10" s="615"/>
      <c r="F10" s="615"/>
      <c r="H10" s="28" t="s">
        <v>50</v>
      </c>
      <c r="I10" s="27" t="s">
        <v>81</v>
      </c>
      <c r="J10" s="27" t="s">
        <v>82</v>
      </c>
      <c r="K10" s="617"/>
      <c r="L10" s="8"/>
      <c r="N10" s="8"/>
      <c r="O10" s="8"/>
    </row>
    <row r="11" spans="2:15" x14ac:dyDescent="0.2">
      <c r="B11" s="25" t="s">
        <v>7</v>
      </c>
      <c r="C11" s="27">
        <v>88</v>
      </c>
      <c r="D11" s="615"/>
      <c r="F11" s="615"/>
      <c r="H11" s="29" t="s">
        <v>52</v>
      </c>
      <c r="I11" s="27">
        <v>69</v>
      </c>
      <c r="J11" s="27" t="s">
        <v>82</v>
      </c>
      <c r="K11" s="9">
        <v>1</v>
      </c>
      <c r="L11" s="706">
        <v>25</v>
      </c>
      <c r="N11" s="707">
        <v>6318308.1554751433</v>
      </c>
      <c r="O11" s="707">
        <v>123869.96614339126</v>
      </c>
    </row>
    <row r="12" spans="2:15" x14ac:dyDescent="0.2">
      <c r="B12" s="26" t="s">
        <v>8</v>
      </c>
      <c r="C12" s="30">
        <v>69</v>
      </c>
      <c r="D12" s="615">
        <v>0.17333333333333334</v>
      </c>
      <c r="F12" s="615">
        <v>1561564.7652240635</v>
      </c>
      <c r="H12" s="29" t="s">
        <v>83</v>
      </c>
      <c r="I12" s="27" t="s">
        <v>82</v>
      </c>
      <c r="J12" s="27" t="s">
        <v>81</v>
      </c>
      <c r="K12" s="617"/>
      <c r="L12" s="8"/>
      <c r="N12" s="8"/>
      <c r="O12" s="8"/>
    </row>
    <row r="13" spans="2:15" x14ac:dyDescent="0.2">
      <c r="B13" s="32" t="s">
        <v>67</v>
      </c>
      <c r="C13" s="33" t="s">
        <v>73</v>
      </c>
      <c r="D13" s="616">
        <v>149.88999999999999</v>
      </c>
      <c r="F13" s="616">
        <v>128473.01589178732</v>
      </c>
      <c r="H13" s="29" t="s">
        <v>84</v>
      </c>
      <c r="I13" s="27" t="s">
        <v>82</v>
      </c>
      <c r="J13" s="27">
        <v>69</v>
      </c>
      <c r="K13" s="617"/>
      <c r="L13" s="8"/>
      <c r="N13" s="8"/>
      <c r="O13" s="8"/>
    </row>
    <row r="14" spans="2:15" x14ac:dyDescent="0.2">
      <c r="B14" s="32" t="s">
        <v>68</v>
      </c>
      <c r="C14" s="33" t="s">
        <v>73</v>
      </c>
      <c r="D14" s="616">
        <v>0</v>
      </c>
      <c r="F14" s="616">
        <v>0</v>
      </c>
      <c r="H14" s="29" t="s">
        <v>85</v>
      </c>
      <c r="I14" s="27">
        <v>69</v>
      </c>
      <c r="J14" s="27" t="s">
        <v>81</v>
      </c>
      <c r="K14" s="617"/>
      <c r="L14" s="8"/>
      <c r="N14" s="8"/>
      <c r="O14" s="8"/>
    </row>
    <row r="15" spans="2:15" x14ac:dyDescent="0.2">
      <c r="B15" s="32" t="s">
        <v>69</v>
      </c>
      <c r="C15" s="33" t="s">
        <v>73</v>
      </c>
      <c r="D15" s="616">
        <v>0</v>
      </c>
      <c r="F15" s="616">
        <v>0</v>
      </c>
    </row>
    <row r="16" spans="2:15" ht="14.25" customHeight="1" x14ac:dyDescent="0.2">
      <c r="B16" s="3" t="s">
        <v>96</v>
      </c>
      <c r="C16" s="15" t="s">
        <v>73</v>
      </c>
      <c r="D16" s="615"/>
      <c r="F16" s="615"/>
      <c r="H16" s="618" t="s">
        <v>58</v>
      </c>
      <c r="I16" s="618" t="s">
        <v>76</v>
      </c>
      <c r="J16" s="618" t="s">
        <v>77</v>
      </c>
      <c r="K16" s="618" t="s">
        <v>78</v>
      </c>
      <c r="L16" s="618" t="s">
        <v>79</v>
      </c>
      <c r="N16" s="24" t="s">
        <v>74</v>
      </c>
      <c r="O16" s="24" t="s">
        <v>74</v>
      </c>
    </row>
    <row r="17" spans="2:15" x14ac:dyDescent="0.2">
      <c r="B17" s="3" t="s">
        <v>97</v>
      </c>
      <c r="C17" s="15" t="s">
        <v>73</v>
      </c>
      <c r="D17" s="615"/>
      <c r="F17" s="615"/>
      <c r="H17" s="618"/>
      <c r="I17" s="618" t="s">
        <v>59</v>
      </c>
      <c r="J17" s="618" t="s">
        <v>59</v>
      </c>
      <c r="K17" s="619" t="s">
        <v>87</v>
      </c>
      <c r="L17" s="619" t="s">
        <v>88</v>
      </c>
      <c r="N17" s="239" t="s">
        <v>89</v>
      </c>
      <c r="O17" s="239" t="s">
        <v>92</v>
      </c>
    </row>
    <row r="18" spans="2:15" x14ac:dyDescent="0.2">
      <c r="B18" s="3" t="s">
        <v>95</v>
      </c>
      <c r="C18" s="15" t="s">
        <v>73</v>
      </c>
      <c r="D18" s="615"/>
      <c r="F18" s="615"/>
      <c r="H18" s="620" t="s">
        <v>495</v>
      </c>
      <c r="I18" s="621" t="s">
        <v>82</v>
      </c>
      <c r="J18" s="621" t="s">
        <v>82</v>
      </c>
      <c r="K18" s="622"/>
      <c r="L18" s="623"/>
    </row>
    <row r="19" spans="2:15" x14ac:dyDescent="0.2">
      <c r="B19" s="32" t="s">
        <v>70</v>
      </c>
      <c r="C19" s="33" t="s">
        <v>86</v>
      </c>
      <c r="D19" s="616">
        <v>342.83999999999992</v>
      </c>
      <c r="F19" s="616">
        <v>70552.568850192532</v>
      </c>
      <c r="H19" s="620" t="s">
        <v>496</v>
      </c>
      <c r="I19" s="621" t="s">
        <v>82</v>
      </c>
      <c r="J19" s="621" t="s">
        <v>82</v>
      </c>
      <c r="K19" s="622"/>
      <c r="L19" s="623"/>
    </row>
    <row r="20" spans="2:15" x14ac:dyDescent="0.2">
      <c r="B20" s="32" t="s">
        <v>71</v>
      </c>
      <c r="C20" s="33" t="s">
        <v>86</v>
      </c>
      <c r="D20" s="616">
        <v>8.9740000000000002</v>
      </c>
      <c r="F20" s="616">
        <v>61078.180343213724</v>
      </c>
      <c r="H20" s="620" t="s">
        <v>497</v>
      </c>
      <c r="I20" s="621" t="s">
        <v>82</v>
      </c>
      <c r="J20" s="621" t="s">
        <v>86</v>
      </c>
      <c r="K20" s="703">
        <v>596</v>
      </c>
      <c r="L20" s="704">
        <v>64695</v>
      </c>
      <c r="N20" s="705">
        <v>4630.1500000000005</v>
      </c>
      <c r="O20" s="705">
        <v>113.10965298709328</v>
      </c>
    </row>
    <row r="21" spans="2:15" x14ac:dyDescent="0.2">
      <c r="B21" s="32" t="s">
        <v>72</v>
      </c>
      <c r="C21" s="33" t="s">
        <v>86</v>
      </c>
      <c r="D21" s="616">
        <v>34.481999999999999</v>
      </c>
      <c r="F21" s="616">
        <v>53032.854365904495</v>
      </c>
      <c r="H21" s="620" t="s">
        <v>498</v>
      </c>
      <c r="I21" s="621" t="s">
        <v>82</v>
      </c>
      <c r="J21" s="621" t="s">
        <v>86</v>
      </c>
      <c r="K21" s="622"/>
      <c r="L21" s="623"/>
      <c r="N21" s="623"/>
      <c r="O21" s="623"/>
    </row>
    <row r="22" spans="2:15" x14ac:dyDescent="0.2">
      <c r="B22" s="3" t="s">
        <v>98</v>
      </c>
      <c r="C22" s="15" t="s">
        <v>86</v>
      </c>
      <c r="D22" s="615"/>
      <c r="F22" s="615"/>
    </row>
    <row r="23" spans="2:15" x14ac:dyDescent="0.2">
      <c r="B23" s="3" t="s">
        <v>99</v>
      </c>
      <c r="C23" s="15" t="s">
        <v>86</v>
      </c>
      <c r="D23" s="615"/>
      <c r="F23" s="615"/>
      <c r="I23" s="1" t="s">
        <v>108</v>
      </c>
    </row>
    <row r="24" spans="2:15" x14ac:dyDescent="0.2">
      <c r="B24" s="3" t="s">
        <v>100</v>
      </c>
      <c r="C24" s="15" t="s">
        <v>86</v>
      </c>
      <c r="D24" s="615"/>
      <c r="F24" s="615"/>
      <c r="I24" s="24" t="s">
        <v>58</v>
      </c>
      <c r="J24" s="24" t="s">
        <v>57</v>
      </c>
      <c r="K24" s="24" t="s">
        <v>103</v>
      </c>
      <c r="L24" s="24" t="s">
        <v>102</v>
      </c>
      <c r="N24" s="24" t="s">
        <v>74</v>
      </c>
      <c r="O24" s="24" t="s">
        <v>74</v>
      </c>
    </row>
    <row r="25" spans="2:15" x14ac:dyDescent="0.2">
      <c r="I25" s="24"/>
      <c r="J25" s="24" t="s">
        <v>59</v>
      </c>
      <c r="K25" s="239" t="s">
        <v>87</v>
      </c>
      <c r="L25" s="24" t="s">
        <v>87</v>
      </c>
      <c r="N25" s="239" t="s">
        <v>104</v>
      </c>
      <c r="O25" s="239" t="s">
        <v>105</v>
      </c>
    </row>
    <row r="26" spans="2:15" x14ac:dyDescent="0.2">
      <c r="B26" s="24" t="s">
        <v>53</v>
      </c>
      <c r="C26" s="24" t="s">
        <v>94</v>
      </c>
      <c r="D26" s="24" t="s">
        <v>93</v>
      </c>
      <c r="I26" s="25" t="s">
        <v>56</v>
      </c>
      <c r="J26" s="27" t="s">
        <v>66</v>
      </c>
      <c r="K26" s="6"/>
      <c r="L26" s="34"/>
      <c r="N26" s="614"/>
      <c r="O26" s="614"/>
    </row>
    <row r="27" spans="2:15" x14ac:dyDescent="0.2">
      <c r="B27" s="24"/>
      <c r="C27" s="24" t="s">
        <v>61</v>
      </c>
      <c r="D27" s="24" t="s">
        <v>61</v>
      </c>
      <c r="I27" s="25" t="s">
        <v>7</v>
      </c>
      <c r="J27" s="27">
        <v>138</v>
      </c>
      <c r="K27" s="6"/>
      <c r="L27" s="34">
        <f>K9+K10+K12+K14</f>
        <v>0</v>
      </c>
      <c r="N27" s="614"/>
      <c r="O27" s="614"/>
    </row>
    <row r="28" spans="2:15" x14ac:dyDescent="0.2">
      <c r="B28" s="3" t="s">
        <v>101</v>
      </c>
      <c r="C28" s="34">
        <f>D9+D10+D11+D12</f>
        <v>0.17333333333333334</v>
      </c>
      <c r="D28" s="3"/>
      <c r="I28" s="25" t="s">
        <v>7</v>
      </c>
      <c r="J28" s="27">
        <v>88</v>
      </c>
      <c r="K28" s="6"/>
      <c r="L28" s="34"/>
      <c r="N28" s="614"/>
      <c r="O28" s="614"/>
    </row>
    <row r="29" spans="2:15" x14ac:dyDescent="0.2">
      <c r="B29" s="3" t="s">
        <v>6</v>
      </c>
      <c r="C29" s="34">
        <f>D13+D14+D15</f>
        <v>149.88999999999999</v>
      </c>
      <c r="D29" s="34">
        <f>D16+D17+D18</f>
        <v>0</v>
      </c>
      <c r="I29" s="26" t="s">
        <v>8</v>
      </c>
      <c r="J29" s="30">
        <v>69</v>
      </c>
      <c r="K29" s="702">
        <v>1</v>
      </c>
      <c r="L29" s="34">
        <f>K9+K13+K11+K14</f>
        <v>1</v>
      </c>
      <c r="N29" s="614">
        <v>276149.325402299</v>
      </c>
      <c r="O29" s="614">
        <v>668027.60088495037</v>
      </c>
    </row>
    <row r="30" spans="2:15" x14ac:dyDescent="0.2">
      <c r="B30" s="3" t="s">
        <v>20</v>
      </c>
      <c r="C30" s="34">
        <f>D19+D20+D21</f>
        <v>386.29599999999994</v>
      </c>
      <c r="D30" s="34">
        <f>D22+D23+D24</f>
        <v>0</v>
      </c>
      <c r="I30" s="3" t="s">
        <v>6</v>
      </c>
      <c r="J30" s="15" t="s">
        <v>73</v>
      </c>
      <c r="K30" s="702">
        <v>5</v>
      </c>
      <c r="L30" s="34">
        <f>K10+K11+K12+K13</f>
        <v>1</v>
      </c>
      <c r="N30" s="614">
        <v>144862.37252002984</v>
      </c>
      <c r="O30" s="614">
        <v>115481.87754047112</v>
      </c>
    </row>
    <row r="31" spans="2:15" x14ac:dyDescent="0.2">
      <c r="B31" s="12" t="s">
        <v>53</v>
      </c>
      <c r="C31" s="345">
        <f>C28+C29+C30</f>
        <v>536.35933333333332</v>
      </c>
      <c r="D31" s="345">
        <f>D28+D29+D30</f>
        <v>0</v>
      </c>
      <c r="F31" s="345">
        <f>SUM(C28:D30)</f>
        <v>536.35933333333332</v>
      </c>
      <c r="I31" s="3" t="s">
        <v>20</v>
      </c>
      <c r="J31" s="15" t="s">
        <v>86</v>
      </c>
      <c r="K31" s="6"/>
      <c r="L31" s="34"/>
      <c r="N31" s="614"/>
      <c r="O31" s="6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SalAt">
          <controlPr defaultSize="0" autoLine="0" r:id="rId5">
            <anchor moveWithCells="1">
              <from>
                <xdr:col>1</xdr:col>
                <xdr:colOff>1381125</xdr:colOff>
                <xdr:row>32</xdr:row>
                <xdr:rowOff>19050</xdr:rowOff>
              </from>
              <to>
                <xdr:col>3</xdr:col>
                <xdr:colOff>800100</xdr:colOff>
                <xdr:row>33</xdr:row>
                <xdr:rowOff>142875</xdr:rowOff>
              </to>
            </anchor>
          </controlPr>
        </control>
      </mc:Choice>
      <mc:Fallback>
        <control shapeId="9217" r:id="rId4" name="SalA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>
    <tabColor theme="4" tint="-0.249977111117893"/>
  </sheetPr>
  <dimension ref="A1:T574"/>
  <sheetViews>
    <sheetView showGridLines="0" zoomScaleNormal="100" workbookViewId="0">
      <selection activeCell="Q50" sqref="Q50"/>
    </sheetView>
  </sheetViews>
  <sheetFormatPr defaultColWidth="9.140625" defaultRowHeight="12.75" x14ac:dyDescent="0.2"/>
  <cols>
    <col min="1" max="1" width="0.5703125" style="2" customWidth="1"/>
    <col min="2" max="2" width="51.7109375" style="2" customWidth="1"/>
    <col min="3" max="3" width="14.85546875" style="2" bestFit="1" customWidth="1"/>
    <col min="4" max="4" width="16.85546875" style="2" customWidth="1"/>
    <col min="5" max="6" width="17.5703125" style="2" customWidth="1"/>
    <col min="7" max="7" width="15" style="2" customWidth="1"/>
    <col min="8" max="8" width="18" style="2" customWidth="1"/>
    <col min="9" max="9" width="17.42578125" style="2" customWidth="1"/>
    <col min="10" max="10" width="20.5703125" style="2" customWidth="1"/>
    <col min="11" max="11" width="17.42578125" style="2" customWidth="1"/>
    <col min="12" max="12" width="12.85546875" style="2" customWidth="1"/>
    <col min="13" max="13" width="19.140625" style="2" customWidth="1"/>
    <col min="14" max="15" width="12.85546875" style="2" customWidth="1"/>
    <col min="16" max="16" width="30.28515625" style="2" customWidth="1"/>
    <col min="17" max="17" width="15.7109375" style="2" customWidth="1"/>
    <col min="18" max="18" width="40.5703125" style="2" customWidth="1"/>
    <col min="19" max="22" width="15.7109375" style="2" customWidth="1"/>
    <col min="23" max="16384" width="9.140625" style="2"/>
  </cols>
  <sheetData>
    <row r="1" spans="2:11" x14ac:dyDescent="0.2">
      <c r="G1" s="22"/>
      <c r="H1" s="23"/>
    </row>
    <row r="2" spans="2:11" x14ac:dyDescent="0.2">
      <c r="B2" s="1" t="s">
        <v>179</v>
      </c>
      <c r="C2" s="1"/>
      <c r="F2" s="365" t="s">
        <v>62</v>
      </c>
      <c r="G2" s="367">
        <v>2</v>
      </c>
      <c r="H2" s="340"/>
      <c r="I2" s="340"/>
      <c r="J2" s="340"/>
      <c r="K2" s="340"/>
    </row>
    <row r="3" spans="2:11" x14ac:dyDescent="0.2">
      <c r="B3" s="1"/>
      <c r="C3" s="1"/>
      <c r="F3" s="365" t="s">
        <v>63</v>
      </c>
      <c r="G3" s="368">
        <v>44714</v>
      </c>
    </row>
    <row r="4" spans="2:11" x14ac:dyDescent="0.2">
      <c r="B4" s="1"/>
      <c r="F4" s="365" t="s">
        <v>3234</v>
      </c>
      <c r="G4" s="366">
        <v>22</v>
      </c>
    </row>
    <row r="5" spans="2:11" x14ac:dyDescent="0.2">
      <c r="B5" s="1" t="s">
        <v>3376</v>
      </c>
      <c r="C5" s="1"/>
      <c r="G5" s="1"/>
      <c r="H5" s="1" t="s">
        <v>737</v>
      </c>
    </row>
    <row r="6" spans="2:11" ht="3.75" customHeight="1" x14ac:dyDescent="0.2">
      <c r="C6" s="1"/>
    </row>
    <row r="7" spans="2:11" x14ac:dyDescent="0.2">
      <c r="B7" s="56" t="s">
        <v>333</v>
      </c>
      <c r="C7" s="224">
        <v>8.6997714782192315E-2</v>
      </c>
      <c r="E7" s="56" t="s">
        <v>619</v>
      </c>
      <c r="F7" s="658">
        <v>0.66</v>
      </c>
      <c r="H7" s="44"/>
      <c r="I7" s="44" t="s">
        <v>731</v>
      </c>
    </row>
    <row r="8" spans="2:11" x14ac:dyDescent="0.2">
      <c r="B8" s="56" t="s">
        <v>334</v>
      </c>
      <c r="C8" s="224">
        <v>0.34</v>
      </c>
      <c r="H8" s="44" t="s">
        <v>633</v>
      </c>
      <c r="I8" s="659">
        <v>0.59</v>
      </c>
    </row>
    <row r="9" spans="2:11" x14ac:dyDescent="0.2">
      <c r="B9" s="56" t="s">
        <v>648</v>
      </c>
      <c r="C9" s="226">
        <v>1075.7329999999999</v>
      </c>
      <c r="H9" s="44" t="s">
        <v>635</v>
      </c>
      <c r="I9" s="659">
        <v>0</v>
      </c>
    </row>
    <row r="10" spans="2:11" x14ac:dyDescent="0.2">
      <c r="B10" s="56" t="s">
        <v>649</v>
      </c>
      <c r="C10" s="226">
        <v>1190.8820000000001</v>
      </c>
      <c r="H10" s="44" t="s">
        <v>637</v>
      </c>
      <c r="I10" s="659">
        <v>0.65</v>
      </c>
    </row>
    <row r="11" spans="2:11" x14ac:dyDescent="0.2">
      <c r="C11" s="1"/>
    </row>
    <row r="12" spans="2:11" ht="2.25" customHeight="1" x14ac:dyDescent="0.2"/>
    <row r="13" spans="2:11" x14ac:dyDescent="0.2">
      <c r="B13" s="1" t="s">
        <v>3380</v>
      </c>
      <c r="C13" s="44" t="s">
        <v>331</v>
      </c>
      <c r="D13" s="44" t="s">
        <v>599</v>
      </c>
      <c r="F13" s="44" t="s">
        <v>601</v>
      </c>
      <c r="G13" s="44" t="s">
        <v>601</v>
      </c>
      <c r="H13" s="44" t="s">
        <v>618</v>
      </c>
    </row>
    <row r="14" spans="2:11" x14ac:dyDescent="0.2">
      <c r="C14" s="44"/>
      <c r="D14" s="44" t="s">
        <v>600</v>
      </c>
      <c r="F14" s="44" t="s">
        <v>600</v>
      </c>
      <c r="G14" s="44" t="s">
        <v>602</v>
      </c>
      <c r="H14" s="44" t="s">
        <v>602</v>
      </c>
    </row>
    <row r="15" spans="2:11" x14ac:dyDescent="0.2">
      <c r="B15" s="43" t="s">
        <v>7</v>
      </c>
      <c r="C15" s="224"/>
      <c r="D15" s="225"/>
      <c r="F15" s="74">
        <f>D15</f>
        <v>0</v>
      </c>
      <c r="G15" s="659"/>
      <c r="H15" s="227">
        <v>10</v>
      </c>
    </row>
    <row r="16" spans="2:11" x14ac:dyDescent="0.2">
      <c r="B16" s="43" t="s">
        <v>8</v>
      </c>
      <c r="C16" s="224"/>
      <c r="D16" s="225"/>
      <c r="F16" s="74">
        <f t="shared" ref="F16:F18" si="0">D16</f>
        <v>0</v>
      </c>
      <c r="G16" s="659"/>
      <c r="H16" s="227">
        <v>10</v>
      </c>
    </row>
    <row r="17" spans="1:15" x14ac:dyDescent="0.2">
      <c r="B17" s="43" t="s">
        <v>6</v>
      </c>
      <c r="C17" s="224">
        <v>7.4348741895556417E-2</v>
      </c>
      <c r="D17" s="225">
        <v>1.9582919563058587</v>
      </c>
      <c r="F17" s="74">
        <f t="shared" si="0"/>
        <v>1.9582919563058587</v>
      </c>
      <c r="G17" s="659">
        <v>6</v>
      </c>
      <c r="H17" s="227">
        <v>10</v>
      </c>
    </row>
    <row r="18" spans="1:15" x14ac:dyDescent="0.2">
      <c r="B18" s="43" t="s">
        <v>19</v>
      </c>
      <c r="C18" s="224"/>
      <c r="D18" s="225"/>
      <c r="F18" s="74">
        <f t="shared" si="0"/>
        <v>0</v>
      </c>
      <c r="G18" s="659"/>
      <c r="H18" s="227">
        <v>10</v>
      </c>
    </row>
    <row r="19" spans="1:15" x14ac:dyDescent="0.2">
      <c r="B19" s="43" t="s">
        <v>20</v>
      </c>
      <c r="C19" s="224">
        <v>0.9256512581044436</v>
      </c>
      <c r="D19" s="74"/>
      <c r="F19" s="74">
        <v>5</v>
      </c>
      <c r="G19" s="659"/>
      <c r="H19" s="228">
        <v>10</v>
      </c>
    </row>
    <row r="20" spans="1:15" x14ac:dyDescent="0.2">
      <c r="C20" s="57">
        <f>SUM(C15:C19)</f>
        <v>1</v>
      </c>
      <c r="F20" s="147" t="str">
        <f>IF(F15=D15,"MANTER SINAL","ALTERAR SINAL")</f>
        <v>MANTER SINAL</v>
      </c>
      <c r="G20" s="147" t="str">
        <f>IF(G15+G16+G17+G18+G19&lt;&gt;0,"ALTERAR FIO B","SEM PROPOSTA")</f>
        <v>ALTERAR FIO B</v>
      </c>
    </row>
    <row r="22" spans="1:15" x14ac:dyDescent="0.2">
      <c r="F22" s="44"/>
      <c r="G22" s="44" t="s">
        <v>337</v>
      </c>
      <c r="H22" s="44" t="s">
        <v>717</v>
      </c>
    </row>
    <row r="23" spans="1:15" ht="15" customHeight="1" x14ac:dyDescent="0.2">
      <c r="B23" s="1" t="s">
        <v>3377</v>
      </c>
      <c r="F23" s="44" t="s">
        <v>633</v>
      </c>
      <c r="G23" s="659">
        <v>5</v>
      </c>
      <c r="H23" s="659">
        <v>3</v>
      </c>
    </row>
    <row r="24" spans="1:15" x14ac:dyDescent="0.2">
      <c r="B24" s="56" t="s">
        <v>335</v>
      </c>
      <c r="C24" s="226">
        <v>16134985.614354178</v>
      </c>
      <c r="F24" s="44" t="s">
        <v>635</v>
      </c>
      <c r="G24" s="659">
        <v>5</v>
      </c>
      <c r="H24" s="659">
        <v>3</v>
      </c>
    </row>
    <row r="25" spans="1:15" x14ac:dyDescent="0.2">
      <c r="B25" s="56" t="s">
        <v>336</v>
      </c>
      <c r="C25" s="226">
        <v>12045944.161460493</v>
      </c>
      <c r="F25" s="44" t="s">
        <v>637</v>
      </c>
      <c r="G25" s="659">
        <v>5</v>
      </c>
      <c r="H25" s="659">
        <v>3</v>
      </c>
    </row>
    <row r="26" spans="1:15" x14ac:dyDescent="0.2">
      <c r="B26" s="56" t="s">
        <v>510</v>
      </c>
      <c r="C26" s="226">
        <v>207.42753346042008</v>
      </c>
      <c r="F26" s="643" t="s">
        <v>3502</v>
      </c>
      <c r="G26" s="643">
        <v>5</v>
      </c>
      <c r="H26" s="643">
        <v>3</v>
      </c>
    </row>
    <row r="27" spans="1:15" x14ac:dyDescent="0.2">
      <c r="B27" s="364"/>
      <c r="C27" s="364"/>
      <c r="D27" s="364"/>
      <c r="E27" s="364"/>
      <c r="F27" s="364"/>
      <c r="G27" s="364"/>
      <c r="H27" s="364"/>
      <c r="I27" s="364"/>
      <c r="J27" s="364"/>
      <c r="K27" s="364"/>
    </row>
    <row r="28" spans="1:15" ht="5.25" customHeight="1" x14ac:dyDescent="0.2">
      <c r="A28" s="523"/>
      <c r="B28" s="523"/>
      <c r="C28" s="523"/>
      <c r="D28" s="523"/>
      <c r="E28" s="523"/>
      <c r="F28" s="523"/>
      <c r="G28" s="523"/>
      <c r="H28" s="523"/>
      <c r="I28" s="523"/>
      <c r="J28" s="523"/>
      <c r="K28" s="523"/>
    </row>
    <row r="29" spans="1:15" x14ac:dyDescent="0.2">
      <c r="A29" s="523"/>
      <c r="B29" s="523"/>
      <c r="C29" s="522"/>
      <c r="D29" s="523"/>
      <c r="E29" s="523"/>
      <c r="F29" s="523"/>
      <c r="G29" s="523"/>
      <c r="H29" s="523"/>
      <c r="I29" s="523"/>
      <c r="J29" s="523"/>
      <c r="K29" s="523"/>
    </row>
    <row r="30" spans="1:15" x14ac:dyDescent="0.2">
      <c r="A30" s="523"/>
      <c r="B30" s="522" t="s">
        <v>166</v>
      </c>
      <c r="C30" s="522"/>
      <c r="D30" s="523"/>
      <c r="E30" s="523"/>
      <c r="F30" s="522" t="s">
        <v>166</v>
      </c>
      <c r="G30" s="523"/>
      <c r="H30" s="523"/>
      <c r="I30" s="523"/>
      <c r="J30" s="523"/>
      <c r="K30" s="523"/>
    </row>
    <row r="31" spans="1:15" ht="3" customHeight="1" x14ac:dyDescent="0.2">
      <c r="A31" s="523"/>
      <c r="C31" s="1"/>
      <c r="E31" s="523"/>
      <c r="K31" s="523"/>
    </row>
    <row r="32" spans="1:15" s="1" customFormat="1" ht="26.25" thickBot="1" x14ac:dyDescent="0.25">
      <c r="A32" s="522"/>
      <c r="B32" s="24" t="s">
        <v>58</v>
      </c>
      <c r="C32" s="45" t="s">
        <v>164</v>
      </c>
      <c r="D32" s="46" t="s">
        <v>165</v>
      </c>
      <c r="E32" s="522"/>
      <c r="F32" s="779" t="s">
        <v>167</v>
      </c>
      <c r="G32" s="779"/>
      <c r="H32" s="779"/>
      <c r="I32" s="779"/>
      <c r="J32" s="780"/>
      <c r="K32" s="523"/>
      <c r="L32" s="2"/>
      <c r="M32" s="2"/>
      <c r="N32" s="2"/>
      <c r="O32" s="2"/>
    </row>
    <row r="33" spans="1:15" s="1" customFormat="1" ht="13.5" thickBot="1" x14ac:dyDescent="0.25">
      <c r="A33" s="522"/>
      <c r="B33" s="24"/>
      <c r="C33" s="45" t="s">
        <v>162</v>
      </c>
      <c r="D33" s="46" t="s">
        <v>163</v>
      </c>
      <c r="E33" s="522"/>
      <c r="F33" s="25"/>
      <c r="G33" s="25" t="s">
        <v>7</v>
      </c>
      <c r="H33" s="26" t="s">
        <v>8</v>
      </c>
      <c r="I33" s="26" t="s">
        <v>6</v>
      </c>
      <c r="J33" s="26" t="s">
        <v>20</v>
      </c>
      <c r="K33" s="523"/>
      <c r="L33" s="2"/>
      <c r="M33" s="2"/>
      <c r="N33" s="2"/>
      <c r="O33" s="2"/>
    </row>
    <row r="34" spans="1:15" x14ac:dyDescent="0.2">
      <c r="A34" s="523"/>
      <c r="B34" s="25" t="s">
        <v>56</v>
      </c>
      <c r="C34" s="656"/>
      <c r="D34" s="656"/>
      <c r="E34" s="523"/>
      <c r="F34" s="25" t="s">
        <v>7</v>
      </c>
      <c r="G34" s="657">
        <v>0</v>
      </c>
      <c r="H34" s="624">
        <v>0</v>
      </c>
      <c r="I34" s="624">
        <v>0</v>
      </c>
      <c r="J34" s="624">
        <v>0</v>
      </c>
      <c r="K34" s="523"/>
    </row>
    <row r="35" spans="1:15" x14ac:dyDescent="0.2">
      <c r="A35" s="523"/>
      <c r="B35" s="25" t="s">
        <v>7</v>
      </c>
      <c r="C35" s="656"/>
      <c r="D35" s="656"/>
      <c r="E35" s="523"/>
      <c r="F35" s="26" t="s">
        <v>8</v>
      </c>
      <c r="G35" s="657">
        <v>0</v>
      </c>
      <c r="H35" s="657">
        <v>0</v>
      </c>
      <c r="I35" s="624">
        <v>0</v>
      </c>
      <c r="J35" s="624">
        <v>0</v>
      </c>
      <c r="K35" s="523"/>
    </row>
    <row r="36" spans="1:15" x14ac:dyDescent="0.2">
      <c r="A36" s="523"/>
      <c r="B36" s="26" t="s">
        <v>8</v>
      </c>
      <c r="C36" s="656"/>
      <c r="D36" s="656"/>
      <c r="E36" s="523"/>
      <c r="F36" s="26" t="s">
        <v>6</v>
      </c>
      <c r="G36" s="657">
        <v>0</v>
      </c>
      <c r="H36" s="657">
        <v>0</v>
      </c>
      <c r="I36" s="657">
        <v>1.7459490000000001E-2</v>
      </c>
      <c r="J36" s="624">
        <v>0</v>
      </c>
      <c r="K36" s="523"/>
    </row>
    <row r="37" spans="1:15" x14ac:dyDescent="0.2">
      <c r="A37" s="523"/>
      <c r="B37" s="26" t="s">
        <v>6</v>
      </c>
      <c r="C37" s="656">
        <v>1.9111844200000002E-2</v>
      </c>
      <c r="D37" s="656"/>
      <c r="E37" s="523"/>
      <c r="F37" s="26" t="s">
        <v>20</v>
      </c>
      <c r="G37" s="657">
        <v>0</v>
      </c>
      <c r="H37" s="657">
        <v>0</v>
      </c>
      <c r="I37" s="657">
        <v>5.1865330000000001E-2</v>
      </c>
      <c r="J37" s="657">
        <v>9.9372999999999996E-3</v>
      </c>
      <c r="K37" s="523"/>
    </row>
    <row r="38" spans="1:15" x14ac:dyDescent="0.2">
      <c r="A38" s="523"/>
      <c r="B38" s="26" t="s">
        <v>20</v>
      </c>
      <c r="C38" s="656">
        <v>8.9199962600000002E-2</v>
      </c>
      <c r="D38" s="656"/>
      <c r="E38" s="523"/>
      <c r="F38" s="523"/>
      <c r="G38" s="523"/>
      <c r="H38" s="523"/>
      <c r="I38" s="523"/>
      <c r="J38" s="523"/>
      <c r="K38" s="523"/>
    </row>
    <row r="39" spans="1:15" x14ac:dyDescent="0.2">
      <c r="A39" s="523"/>
      <c r="B39" s="530"/>
      <c r="C39" s="530"/>
      <c r="D39" s="530"/>
      <c r="E39" s="530"/>
      <c r="F39" s="530"/>
      <c r="G39" s="530"/>
      <c r="H39" s="530"/>
      <c r="I39" s="530"/>
      <c r="J39" s="530"/>
      <c r="K39" s="530"/>
    </row>
    <row r="40" spans="1:15" ht="5.25" customHeight="1" x14ac:dyDescent="0.2"/>
    <row r="41" spans="1:15" x14ac:dyDescent="0.2">
      <c r="C41" s="341" t="s">
        <v>3481</v>
      </c>
    </row>
    <row r="42" spans="1:15" x14ac:dyDescent="0.2">
      <c r="B42" s="1" t="s">
        <v>3378</v>
      </c>
      <c r="H42" s="1" t="s">
        <v>3381</v>
      </c>
      <c r="J42" s="1" t="s">
        <v>3382</v>
      </c>
    </row>
    <row r="43" spans="1:15" ht="2.25" customHeight="1" x14ac:dyDescent="0.2"/>
    <row r="44" spans="1:15" x14ac:dyDescent="0.2">
      <c r="B44" s="47"/>
      <c r="C44" s="777" t="s">
        <v>338</v>
      </c>
      <c r="D44" s="778"/>
      <c r="E44" s="777" t="s">
        <v>341</v>
      </c>
      <c r="F44" s="778"/>
      <c r="H44" s="61" t="s">
        <v>342</v>
      </c>
      <c r="J44" s="61" t="s">
        <v>344</v>
      </c>
    </row>
    <row r="45" spans="1:15" x14ac:dyDescent="0.2">
      <c r="B45" s="47"/>
      <c r="C45" s="47" t="s">
        <v>339</v>
      </c>
      <c r="D45" s="47" t="s">
        <v>340</v>
      </c>
      <c r="E45" s="47" t="s">
        <v>339</v>
      </c>
      <c r="F45" s="47" t="s">
        <v>340</v>
      </c>
      <c r="H45" s="47"/>
      <c r="J45" s="47"/>
    </row>
    <row r="46" spans="1:15" x14ac:dyDescent="0.2">
      <c r="B46" s="47"/>
      <c r="C46" s="47" t="s">
        <v>170</v>
      </c>
      <c r="D46" s="47" t="s">
        <v>170</v>
      </c>
      <c r="E46" s="47" t="s">
        <v>29</v>
      </c>
      <c r="F46" s="47" t="s">
        <v>29</v>
      </c>
      <c r="H46" s="47" t="s">
        <v>29</v>
      </c>
      <c r="J46" s="47" t="s">
        <v>29</v>
      </c>
    </row>
    <row r="47" spans="1:15" x14ac:dyDescent="0.2">
      <c r="B47" s="25" t="s">
        <v>156</v>
      </c>
      <c r="C47" s="220">
        <v>0</v>
      </c>
      <c r="D47" s="220">
        <v>0</v>
      </c>
      <c r="E47" s="220">
        <v>0</v>
      </c>
      <c r="F47" s="220">
        <v>0</v>
      </c>
      <c r="H47" s="8"/>
      <c r="J47" s="8"/>
      <c r="K47" s="2" t="s">
        <v>676</v>
      </c>
    </row>
    <row r="48" spans="1:15" x14ac:dyDescent="0.2">
      <c r="B48" s="25" t="s">
        <v>157</v>
      </c>
      <c r="C48" s="220">
        <v>0</v>
      </c>
      <c r="D48" s="220">
        <v>0</v>
      </c>
      <c r="E48" s="220">
        <v>0</v>
      </c>
      <c r="F48" s="220">
        <v>0</v>
      </c>
      <c r="H48" s="8"/>
      <c r="J48" s="709">
        <v>176841.91</v>
      </c>
    </row>
    <row r="49" spans="2:20" x14ac:dyDescent="0.2">
      <c r="B49" s="26" t="s">
        <v>158</v>
      </c>
      <c r="C49" s="220">
        <v>0</v>
      </c>
      <c r="D49" s="220">
        <v>0</v>
      </c>
      <c r="E49" s="220">
        <v>0</v>
      </c>
      <c r="F49" s="220">
        <v>0</v>
      </c>
      <c r="H49" s="8"/>
      <c r="J49" s="8"/>
      <c r="K49" s="710"/>
    </row>
    <row r="50" spans="2:20" x14ac:dyDescent="0.2">
      <c r="B50" s="26" t="s">
        <v>159</v>
      </c>
      <c r="C50" s="220">
        <v>0</v>
      </c>
      <c r="D50" s="220">
        <v>0</v>
      </c>
      <c r="E50" s="220">
        <v>0</v>
      </c>
      <c r="F50" s="220">
        <v>0</v>
      </c>
      <c r="H50" s="8"/>
      <c r="J50" s="711">
        <v>1434614.04</v>
      </c>
    </row>
    <row r="51" spans="2:20" x14ac:dyDescent="0.2">
      <c r="B51" s="26" t="s">
        <v>19</v>
      </c>
      <c r="C51" s="220">
        <v>0</v>
      </c>
      <c r="D51" s="220">
        <v>0</v>
      </c>
      <c r="E51" s="220">
        <v>0</v>
      </c>
      <c r="F51" s="220">
        <v>0</v>
      </c>
      <c r="H51" s="8"/>
      <c r="J51" s="8"/>
    </row>
    <row r="52" spans="2:20" x14ac:dyDescent="0.2">
      <c r="B52" s="26" t="s">
        <v>160</v>
      </c>
      <c r="C52" s="220"/>
      <c r="D52" s="220"/>
      <c r="E52" s="220"/>
      <c r="F52" s="220"/>
      <c r="H52" s="8"/>
      <c r="J52" s="8"/>
    </row>
    <row r="53" spans="2:20" x14ac:dyDescent="0.2">
      <c r="G53" s="62" t="s">
        <v>30</v>
      </c>
      <c r="H53" s="17">
        <f>SUM(H47:H52)</f>
        <v>0</v>
      </c>
      <c r="I53" s="62" t="s">
        <v>30</v>
      </c>
      <c r="J53" s="4">
        <f>SUM(J47:J52)</f>
        <v>1611455.95</v>
      </c>
    </row>
    <row r="54" spans="2:20" x14ac:dyDescent="0.2">
      <c r="G54" s="62"/>
      <c r="H54" s="145">
        <v>0</v>
      </c>
      <c r="I54" s="62" t="s">
        <v>347</v>
      </c>
      <c r="J54" s="4">
        <v>2617822.5611708784</v>
      </c>
    </row>
    <row r="55" spans="2:20" x14ac:dyDescent="0.2">
      <c r="B55" s="364"/>
      <c r="C55" s="364"/>
      <c r="D55" s="364"/>
      <c r="E55" s="364"/>
      <c r="F55" s="364"/>
      <c r="G55" s="369"/>
      <c r="H55" s="370"/>
      <c r="I55" s="371"/>
      <c r="J55" s="370" t="str">
        <f>IF(J54&lt;&gt;J53,"valor dif. SPARTA",)</f>
        <v>valor dif. SPARTA</v>
      </c>
      <c r="K55" s="364"/>
    </row>
    <row r="56" spans="2:20" x14ac:dyDescent="0.2">
      <c r="G56" s="62"/>
      <c r="H56" s="144"/>
      <c r="I56" s="145"/>
      <c r="J56" s="144"/>
    </row>
    <row r="57" spans="2:20" x14ac:dyDescent="0.2">
      <c r="B57" s="1" t="s">
        <v>3379</v>
      </c>
      <c r="G57" s="62"/>
      <c r="H57" s="144"/>
      <c r="I57" s="145"/>
      <c r="J57" s="144"/>
    </row>
    <row r="58" spans="2:20" ht="12.75" customHeight="1" x14ac:dyDescent="0.2">
      <c r="B58" s="47"/>
      <c r="C58" s="781" t="s">
        <v>511</v>
      </c>
      <c r="D58" s="782"/>
      <c r="E58" s="782"/>
      <c r="F58" s="782"/>
      <c r="G58" s="782"/>
      <c r="H58" s="782"/>
      <c r="I58" s="145"/>
      <c r="J58" s="144"/>
    </row>
    <row r="59" spans="2:20" x14ac:dyDescent="0.2">
      <c r="B59" s="47"/>
      <c r="C59" s="47" t="s">
        <v>512</v>
      </c>
      <c r="D59" s="47" t="s">
        <v>513</v>
      </c>
      <c r="E59" s="47" t="s">
        <v>514</v>
      </c>
      <c r="F59" s="47" t="s">
        <v>515</v>
      </c>
      <c r="G59" s="47" t="s">
        <v>516</v>
      </c>
      <c r="H59" s="47" t="s">
        <v>582</v>
      </c>
      <c r="I59" s="145"/>
      <c r="J59" s="144"/>
    </row>
    <row r="60" spans="2:20" x14ac:dyDescent="0.2">
      <c r="B60" s="47"/>
      <c r="C60" s="47" t="s">
        <v>29</v>
      </c>
      <c r="D60" s="47" t="s">
        <v>29</v>
      </c>
      <c r="E60" s="47" t="s">
        <v>29</v>
      </c>
      <c r="F60" s="47" t="s">
        <v>29</v>
      </c>
      <c r="G60" s="47" t="s">
        <v>29</v>
      </c>
      <c r="H60" s="47"/>
      <c r="I60" s="145"/>
      <c r="J60" s="144"/>
    </row>
    <row r="61" spans="2:20" x14ac:dyDescent="0.2">
      <c r="B61" s="47"/>
      <c r="C61" s="47"/>
      <c r="D61" s="47"/>
      <c r="E61" s="47"/>
      <c r="F61" s="47"/>
      <c r="G61" s="47"/>
      <c r="H61" s="47"/>
      <c r="I61" s="145"/>
      <c r="J61" s="144"/>
    </row>
    <row r="62" spans="2:20" x14ac:dyDescent="0.2">
      <c r="B62" s="146" t="s">
        <v>156</v>
      </c>
      <c r="C62" s="220"/>
      <c r="D62" s="220"/>
      <c r="E62" s="220"/>
      <c r="F62" s="220"/>
      <c r="G62" s="220"/>
      <c r="H62" s="229"/>
      <c r="I62" s="145"/>
      <c r="J62" s="144"/>
      <c r="T62" s="710"/>
    </row>
    <row r="63" spans="2:20" x14ac:dyDescent="0.2">
      <c r="B63" s="25" t="s">
        <v>157</v>
      </c>
      <c r="C63" s="220"/>
      <c r="D63" s="220"/>
      <c r="E63" s="220"/>
      <c r="F63" s="220"/>
      <c r="G63" s="220"/>
      <c r="H63" s="220"/>
      <c r="I63" s="145"/>
      <c r="J63" s="144"/>
    </row>
    <row r="64" spans="2:20" x14ac:dyDescent="0.2">
      <c r="B64" s="364"/>
      <c r="C64" s="364"/>
      <c r="D64" s="364"/>
      <c r="E64" s="364"/>
      <c r="F64" s="364"/>
      <c r="G64" s="369"/>
      <c r="H64" s="370"/>
      <c r="I64" s="371"/>
      <c r="J64" s="370"/>
      <c r="K64" s="364"/>
    </row>
    <row r="65" spans="1:20" x14ac:dyDescent="0.2">
      <c r="G65" s="62"/>
      <c r="H65" s="63"/>
      <c r="J65" s="144"/>
      <c r="K65" s="144"/>
    </row>
    <row r="66" spans="1:20" x14ac:dyDescent="0.2">
      <c r="B66" s="1" t="s">
        <v>3384</v>
      </c>
      <c r="J66" s="144"/>
      <c r="K66" s="144"/>
      <c r="M66" s="1" t="s">
        <v>3383</v>
      </c>
    </row>
    <row r="67" spans="1:20" ht="3" customHeight="1" x14ac:dyDescent="0.2">
      <c r="B67" s="1"/>
    </row>
    <row r="68" spans="1:20" ht="15" customHeight="1" x14ac:dyDescent="0.2">
      <c r="B68" s="773" t="s">
        <v>3387</v>
      </c>
      <c r="C68" s="773" t="s">
        <v>3388</v>
      </c>
      <c r="D68" s="773" t="s">
        <v>3389</v>
      </c>
      <c r="E68" s="773" t="s">
        <v>3390</v>
      </c>
      <c r="F68" s="773" t="s">
        <v>346</v>
      </c>
      <c r="G68" s="773" t="s">
        <v>345</v>
      </c>
      <c r="H68" s="773" t="s">
        <v>3391</v>
      </c>
      <c r="I68" s="769" t="s">
        <v>560</v>
      </c>
      <c r="J68" s="773" t="s">
        <v>3392</v>
      </c>
      <c r="K68" s="769" t="s">
        <v>647</v>
      </c>
      <c r="M68" s="769" t="s">
        <v>3393</v>
      </c>
      <c r="N68" s="773" t="s">
        <v>3394</v>
      </c>
      <c r="O68" s="773" t="s">
        <v>3388</v>
      </c>
      <c r="P68" s="770" t="s">
        <v>3395</v>
      </c>
      <c r="Q68" s="776"/>
      <c r="R68" s="776"/>
      <c r="S68" s="776"/>
      <c r="T68" s="776"/>
    </row>
    <row r="69" spans="1:20" ht="12.75" customHeight="1" x14ac:dyDescent="0.2">
      <c r="B69" s="774"/>
      <c r="C69" s="775"/>
      <c r="D69" s="774"/>
      <c r="E69" s="774"/>
      <c r="F69" s="774"/>
      <c r="G69" s="775"/>
      <c r="H69" s="775"/>
      <c r="I69" s="770"/>
      <c r="J69" s="775"/>
      <c r="K69" s="770"/>
      <c r="M69" s="771"/>
      <c r="N69" s="774"/>
      <c r="O69" s="775"/>
      <c r="P69" s="773" t="s">
        <v>3396</v>
      </c>
      <c r="Q69" s="520" t="s">
        <v>3397</v>
      </c>
      <c r="R69" s="773" t="s">
        <v>675</v>
      </c>
      <c r="S69" s="769" t="s">
        <v>3398</v>
      </c>
      <c r="T69" s="520" t="s">
        <v>3399</v>
      </c>
    </row>
    <row r="70" spans="1:20" ht="15" customHeight="1" x14ac:dyDescent="0.2">
      <c r="A70" s="537"/>
      <c r="B70" s="783"/>
      <c r="C70" s="538" t="s">
        <v>59</v>
      </c>
      <c r="D70" s="783"/>
      <c r="E70" s="783"/>
      <c r="F70" s="783"/>
      <c r="G70" s="540" t="s">
        <v>343</v>
      </c>
      <c r="H70" s="539" t="s">
        <v>502</v>
      </c>
      <c r="I70" s="539" t="s">
        <v>29</v>
      </c>
      <c r="J70" s="539" t="s">
        <v>502</v>
      </c>
      <c r="K70" s="539" t="s">
        <v>29</v>
      </c>
      <c r="M70" s="772"/>
      <c r="N70" s="772"/>
      <c r="O70" s="520" t="s">
        <v>59</v>
      </c>
      <c r="P70" s="772"/>
      <c r="Q70" s="521" t="s">
        <v>29</v>
      </c>
      <c r="R70" s="772"/>
      <c r="S70" s="772"/>
      <c r="T70" s="521" t="s">
        <v>29</v>
      </c>
    </row>
    <row r="71" spans="1:20" x14ac:dyDescent="0.2">
      <c r="A71" s="629"/>
      <c r="B71" s="629" t="s">
        <v>3592</v>
      </c>
      <c r="C71" s="629">
        <v>23</v>
      </c>
      <c r="D71" s="629" t="s">
        <v>3593</v>
      </c>
      <c r="E71" s="698">
        <v>44378</v>
      </c>
      <c r="F71" s="629" t="s">
        <v>549</v>
      </c>
      <c r="G71" s="699">
        <v>32</v>
      </c>
      <c r="H71" s="708">
        <v>4479</v>
      </c>
      <c r="I71" s="708">
        <f t="shared" ref="I71:I118" si="1">H71*G71</f>
        <v>143328</v>
      </c>
      <c r="J71" s="708">
        <v>6442</v>
      </c>
      <c r="K71" s="708">
        <f t="shared" ref="K71:K118" si="2">J71*G71</f>
        <v>206144</v>
      </c>
      <c r="M71" s="629" t="s">
        <v>3596</v>
      </c>
      <c r="N71" s="629" t="s">
        <v>3597</v>
      </c>
      <c r="O71" s="629">
        <v>23</v>
      </c>
      <c r="P71" s="629" t="s">
        <v>3598</v>
      </c>
      <c r="Q71" s="708">
        <v>87667.92</v>
      </c>
      <c r="R71" s="629" t="s">
        <v>3599</v>
      </c>
      <c r="S71" s="629" t="s">
        <v>3591</v>
      </c>
      <c r="T71" s="708">
        <f t="shared" ref="T71:T78" si="3">Q71/1078977.38*$J$54</f>
        <v>212700.52840859714</v>
      </c>
    </row>
    <row r="72" spans="1:20" x14ac:dyDescent="0.2">
      <c r="A72" s="629"/>
      <c r="B72" s="629" t="s">
        <v>3592</v>
      </c>
      <c r="C72" s="629">
        <v>23</v>
      </c>
      <c r="D72" s="629" t="s">
        <v>3593</v>
      </c>
      <c r="E72" s="698">
        <v>44409</v>
      </c>
      <c r="F72" s="629" t="s">
        <v>549</v>
      </c>
      <c r="G72" s="699">
        <v>32</v>
      </c>
      <c r="H72" s="708">
        <v>4479</v>
      </c>
      <c r="I72" s="708">
        <f t="shared" si="1"/>
        <v>143328</v>
      </c>
      <c r="J72" s="708">
        <v>6442</v>
      </c>
      <c r="K72" s="708">
        <f t="shared" si="2"/>
        <v>206144</v>
      </c>
      <c r="M72" s="629" t="s">
        <v>3596</v>
      </c>
      <c r="N72" s="629" t="s">
        <v>3597</v>
      </c>
      <c r="O72" s="629">
        <v>23</v>
      </c>
      <c r="P72" s="629" t="s">
        <v>3598</v>
      </c>
      <c r="Q72" s="708">
        <v>87667.92</v>
      </c>
      <c r="R72" s="629" t="s">
        <v>3600</v>
      </c>
      <c r="S72" s="629" t="s">
        <v>3591</v>
      </c>
      <c r="T72" s="708">
        <f t="shared" si="3"/>
        <v>212700.52840859714</v>
      </c>
    </row>
    <row r="73" spans="1:20" x14ac:dyDescent="0.2">
      <c r="A73" s="629"/>
      <c r="B73" s="629" t="s">
        <v>3592</v>
      </c>
      <c r="C73" s="629">
        <v>23</v>
      </c>
      <c r="D73" s="629" t="s">
        <v>3593</v>
      </c>
      <c r="E73" s="698">
        <v>44440</v>
      </c>
      <c r="F73" s="629" t="s">
        <v>549</v>
      </c>
      <c r="G73" s="699">
        <v>32</v>
      </c>
      <c r="H73" s="708">
        <v>4479</v>
      </c>
      <c r="I73" s="708">
        <f t="shared" si="1"/>
        <v>143328</v>
      </c>
      <c r="J73" s="708">
        <v>6442</v>
      </c>
      <c r="K73" s="708">
        <f t="shared" si="2"/>
        <v>206144</v>
      </c>
      <c r="M73" s="629" t="s">
        <v>3596</v>
      </c>
      <c r="N73" s="629" t="s">
        <v>3597</v>
      </c>
      <c r="O73" s="629">
        <v>23</v>
      </c>
      <c r="P73" s="629" t="s">
        <v>3598</v>
      </c>
      <c r="Q73" s="708">
        <v>87667.92</v>
      </c>
      <c r="R73" s="629" t="s">
        <v>3601</v>
      </c>
      <c r="S73" s="629" t="s">
        <v>3591</v>
      </c>
      <c r="T73" s="708">
        <f t="shared" si="3"/>
        <v>212700.52840859714</v>
      </c>
    </row>
    <row r="74" spans="1:20" x14ac:dyDescent="0.2">
      <c r="A74" s="629"/>
      <c r="B74" s="629" t="s">
        <v>3592</v>
      </c>
      <c r="C74" s="629">
        <v>23</v>
      </c>
      <c r="D74" s="629" t="s">
        <v>3593</v>
      </c>
      <c r="E74" s="698">
        <v>44470</v>
      </c>
      <c r="F74" s="629" t="s">
        <v>549</v>
      </c>
      <c r="G74" s="699">
        <v>32</v>
      </c>
      <c r="H74" s="708">
        <v>4479</v>
      </c>
      <c r="I74" s="708">
        <f t="shared" si="1"/>
        <v>143328</v>
      </c>
      <c r="J74" s="708">
        <v>6442</v>
      </c>
      <c r="K74" s="708">
        <f t="shared" si="2"/>
        <v>206144</v>
      </c>
      <c r="M74" s="629" t="s">
        <v>3596</v>
      </c>
      <c r="N74" s="629" t="s">
        <v>3597</v>
      </c>
      <c r="O74" s="629">
        <v>23</v>
      </c>
      <c r="P74" s="629" t="s">
        <v>3598</v>
      </c>
      <c r="Q74" s="708">
        <v>87667.92</v>
      </c>
      <c r="R74" s="629" t="s">
        <v>3602</v>
      </c>
      <c r="S74" s="629" t="s">
        <v>3591</v>
      </c>
      <c r="T74" s="708">
        <f t="shared" si="3"/>
        <v>212700.52840859714</v>
      </c>
    </row>
    <row r="75" spans="1:20" x14ac:dyDescent="0.2">
      <c r="A75" s="629"/>
      <c r="B75" s="629" t="s">
        <v>3592</v>
      </c>
      <c r="C75" s="629">
        <v>23</v>
      </c>
      <c r="D75" s="629" t="s">
        <v>3593</v>
      </c>
      <c r="E75" s="698">
        <v>44501</v>
      </c>
      <c r="F75" s="629" t="s">
        <v>549</v>
      </c>
      <c r="G75" s="699">
        <v>32</v>
      </c>
      <c r="H75" s="708">
        <v>4479</v>
      </c>
      <c r="I75" s="708">
        <f t="shared" si="1"/>
        <v>143328</v>
      </c>
      <c r="J75" s="708">
        <v>6442</v>
      </c>
      <c r="K75" s="708">
        <f t="shared" si="2"/>
        <v>206144</v>
      </c>
      <c r="M75" s="629" t="s">
        <v>3596</v>
      </c>
      <c r="N75" s="629" t="s">
        <v>3597</v>
      </c>
      <c r="O75" s="629">
        <v>23</v>
      </c>
      <c r="P75" s="629" t="s">
        <v>3598</v>
      </c>
      <c r="Q75" s="708">
        <v>203299.41</v>
      </c>
      <c r="R75" s="629" t="s">
        <v>3599</v>
      </c>
      <c r="S75" s="629" t="s">
        <v>3591</v>
      </c>
      <c r="T75" s="708">
        <f t="shared" si="3"/>
        <v>493246.46840207948</v>
      </c>
    </row>
    <row r="76" spans="1:20" x14ac:dyDescent="0.2">
      <c r="A76" s="629"/>
      <c r="B76" s="629" t="s">
        <v>3592</v>
      </c>
      <c r="C76" s="629">
        <v>23</v>
      </c>
      <c r="D76" s="629" t="s">
        <v>3593</v>
      </c>
      <c r="E76" s="698">
        <v>44531</v>
      </c>
      <c r="F76" s="629" t="s">
        <v>549</v>
      </c>
      <c r="G76" s="699">
        <v>32</v>
      </c>
      <c r="H76" s="708">
        <v>4479</v>
      </c>
      <c r="I76" s="708">
        <f t="shared" si="1"/>
        <v>143328</v>
      </c>
      <c r="J76" s="708">
        <v>6442</v>
      </c>
      <c r="K76" s="708">
        <f t="shared" si="2"/>
        <v>206144</v>
      </c>
      <c r="M76" s="629" t="s">
        <v>3596</v>
      </c>
      <c r="N76" s="629" t="s">
        <v>3597</v>
      </c>
      <c r="O76" s="629">
        <v>23</v>
      </c>
      <c r="P76" s="629" t="s">
        <v>3598</v>
      </c>
      <c r="Q76" s="708">
        <v>203299.41</v>
      </c>
      <c r="R76" s="629" t="s">
        <v>3600</v>
      </c>
      <c r="S76" s="629" t="s">
        <v>3591</v>
      </c>
      <c r="T76" s="708">
        <f t="shared" si="3"/>
        <v>493246.46840207948</v>
      </c>
    </row>
    <row r="77" spans="1:20" x14ac:dyDescent="0.2">
      <c r="A77" s="629"/>
      <c r="B77" s="629" t="s">
        <v>3592</v>
      </c>
      <c r="C77" s="629">
        <v>23</v>
      </c>
      <c r="D77" s="629" t="s">
        <v>3593</v>
      </c>
      <c r="E77" s="698">
        <v>44562</v>
      </c>
      <c r="F77" s="629" t="s">
        <v>549</v>
      </c>
      <c r="G77" s="699">
        <v>34</v>
      </c>
      <c r="H77" s="708">
        <v>4479</v>
      </c>
      <c r="I77" s="708">
        <f t="shared" si="1"/>
        <v>152286</v>
      </c>
      <c r="J77" s="708">
        <v>6442</v>
      </c>
      <c r="K77" s="708">
        <f t="shared" si="2"/>
        <v>219028</v>
      </c>
      <c r="M77" s="629" t="s">
        <v>3596</v>
      </c>
      <c r="N77" s="629" t="s">
        <v>3597</v>
      </c>
      <c r="O77" s="629">
        <v>23</v>
      </c>
      <c r="P77" s="629" t="s">
        <v>3598</v>
      </c>
      <c r="Q77" s="708">
        <v>203299.41</v>
      </c>
      <c r="R77" s="629" t="s">
        <v>3601</v>
      </c>
      <c r="S77" s="629" t="s">
        <v>3591</v>
      </c>
      <c r="T77" s="708">
        <f t="shared" si="3"/>
        <v>493246.46840207948</v>
      </c>
    </row>
    <row r="78" spans="1:20" x14ac:dyDescent="0.2">
      <c r="A78" s="629"/>
      <c r="B78" s="629" t="s">
        <v>3592</v>
      </c>
      <c r="C78" s="629">
        <v>23</v>
      </c>
      <c r="D78" s="629" t="s">
        <v>3593</v>
      </c>
      <c r="E78" s="698">
        <v>44593</v>
      </c>
      <c r="F78" s="629" t="s">
        <v>549</v>
      </c>
      <c r="G78" s="699">
        <v>34</v>
      </c>
      <c r="H78" s="708">
        <v>4479</v>
      </c>
      <c r="I78" s="708">
        <f t="shared" si="1"/>
        <v>152286</v>
      </c>
      <c r="J78" s="708">
        <v>6442</v>
      </c>
      <c r="K78" s="708">
        <f t="shared" si="2"/>
        <v>219028</v>
      </c>
      <c r="M78" s="629" t="s">
        <v>3590</v>
      </c>
      <c r="N78" s="629" t="s">
        <v>3603</v>
      </c>
      <c r="O78" s="629">
        <v>69</v>
      </c>
      <c r="P78" s="629" t="s">
        <v>3604</v>
      </c>
      <c r="Q78" s="708">
        <v>118407.47</v>
      </c>
      <c r="R78" s="629" t="s">
        <v>3605</v>
      </c>
      <c r="S78" s="629" t="s">
        <v>3591</v>
      </c>
      <c r="T78" s="708">
        <f t="shared" si="3"/>
        <v>287281.0423302516</v>
      </c>
    </row>
    <row r="79" spans="1:20" x14ac:dyDescent="0.2">
      <c r="A79" s="629"/>
      <c r="B79" s="629" t="s">
        <v>3592</v>
      </c>
      <c r="C79" s="629">
        <v>23</v>
      </c>
      <c r="D79" s="629" t="s">
        <v>3593</v>
      </c>
      <c r="E79" s="698">
        <v>44621</v>
      </c>
      <c r="F79" s="629" t="s">
        <v>549</v>
      </c>
      <c r="G79" s="699">
        <v>34</v>
      </c>
      <c r="H79" s="708">
        <v>4479</v>
      </c>
      <c r="I79" s="708">
        <f t="shared" si="1"/>
        <v>152286</v>
      </c>
      <c r="J79" s="708">
        <v>6442</v>
      </c>
      <c r="K79" s="708">
        <f t="shared" si="2"/>
        <v>219028</v>
      </c>
    </row>
    <row r="80" spans="1:20" x14ac:dyDescent="0.2">
      <c r="A80" s="629"/>
      <c r="B80" s="629" t="s">
        <v>3592</v>
      </c>
      <c r="C80" s="629">
        <v>23</v>
      </c>
      <c r="D80" s="629" t="s">
        <v>3593</v>
      </c>
      <c r="E80" s="698">
        <v>44652</v>
      </c>
      <c r="F80" s="629" t="s">
        <v>549</v>
      </c>
      <c r="G80" s="699">
        <v>34</v>
      </c>
      <c r="H80" s="708">
        <v>4479</v>
      </c>
      <c r="I80" s="708">
        <f t="shared" si="1"/>
        <v>152286</v>
      </c>
      <c r="J80" s="708">
        <v>6442</v>
      </c>
      <c r="K80" s="708">
        <f t="shared" si="2"/>
        <v>219028</v>
      </c>
    </row>
    <row r="81" spans="1:20" x14ac:dyDescent="0.2">
      <c r="A81" s="629"/>
      <c r="B81" s="629" t="s">
        <v>3592</v>
      </c>
      <c r="C81" s="629">
        <v>23</v>
      </c>
      <c r="D81" s="629" t="s">
        <v>3593</v>
      </c>
      <c r="E81" s="698">
        <v>44682</v>
      </c>
      <c r="F81" s="629" t="s">
        <v>549</v>
      </c>
      <c r="G81" s="699">
        <v>34</v>
      </c>
      <c r="H81" s="708">
        <v>4479</v>
      </c>
      <c r="I81" s="708">
        <f t="shared" si="1"/>
        <v>152286</v>
      </c>
      <c r="J81" s="708">
        <v>6442</v>
      </c>
      <c r="K81" s="708">
        <f t="shared" si="2"/>
        <v>219028</v>
      </c>
    </row>
    <row r="82" spans="1:20" x14ac:dyDescent="0.2">
      <c r="A82" s="629"/>
      <c r="B82" s="629" t="s">
        <v>3592</v>
      </c>
      <c r="C82" s="629">
        <v>23</v>
      </c>
      <c r="D82" s="629" t="s">
        <v>3593</v>
      </c>
      <c r="E82" s="698">
        <v>44713</v>
      </c>
      <c r="F82" s="629" t="s">
        <v>549</v>
      </c>
      <c r="G82" s="699">
        <v>34</v>
      </c>
      <c r="H82" s="708">
        <v>4479</v>
      </c>
      <c r="I82" s="708">
        <f t="shared" si="1"/>
        <v>152286</v>
      </c>
      <c r="J82" s="708">
        <v>6442</v>
      </c>
      <c r="K82" s="708">
        <f t="shared" si="2"/>
        <v>219028</v>
      </c>
      <c r="T82" s="710"/>
    </row>
    <row r="83" spans="1:20" x14ac:dyDescent="0.2">
      <c r="A83" s="629"/>
      <c r="B83" s="629" t="s">
        <v>3592</v>
      </c>
      <c r="C83" s="629">
        <v>23</v>
      </c>
      <c r="D83" s="629" t="s">
        <v>3593</v>
      </c>
      <c r="E83" s="698">
        <v>44378</v>
      </c>
      <c r="F83" s="629" t="s">
        <v>555</v>
      </c>
      <c r="G83" s="699">
        <v>35</v>
      </c>
      <c r="H83" s="708">
        <v>5159</v>
      </c>
      <c r="I83" s="708">
        <f t="shared" si="1"/>
        <v>180565</v>
      </c>
      <c r="J83" s="708">
        <v>6442</v>
      </c>
      <c r="K83" s="708">
        <f t="shared" si="2"/>
        <v>225470</v>
      </c>
    </row>
    <row r="84" spans="1:20" x14ac:dyDescent="0.2">
      <c r="A84" s="629"/>
      <c r="B84" s="629" t="s">
        <v>3592</v>
      </c>
      <c r="C84" s="629">
        <v>23</v>
      </c>
      <c r="D84" s="629" t="s">
        <v>3593</v>
      </c>
      <c r="E84" s="698">
        <v>44409</v>
      </c>
      <c r="F84" s="629" t="s">
        <v>555</v>
      </c>
      <c r="G84" s="699">
        <v>35</v>
      </c>
      <c r="H84" s="708">
        <v>5159</v>
      </c>
      <c r="I84" s="708">
        <f t="shared" si="1"/>
        <v>180565</v>
      </c>
      <c r="J84" s="708">
        <v>6442</v>
      </c>
      <c r="K84" s="708">
        <f t="shared" si="2"/>
        <v>225470</v>
      </c>
    </row>
    <row r="85" spans="1:20" x14ac:dyDescent="0.2">
      <c r="A85" s="629"/>
      <c r="B85" s="629" t="s">
        <v>3592</v>
      </c>
      <c r="C85" s="629">
        <v>23</v>
      </c>
      <c r="D85" s="629" t="s">
        <v>3593</v>
      </c>
      <c r="E85" s="698">
        <v>44440</v>
      </c>
      <c r="F85" s="629" t="s">
        <v>555</v>
      </c>
      <c r="G85" s="699">
        <v>35</v>
      </c>
      <c r="H85" s="708">
        <v>5159</v>
      </c>
      <c r="I85" s="708">
        <f t="shared" si="1"/>
        <v>180565</v>
      </c>
      <c r="J85" s="708">
        <v>6442</v>
      </c>
      <c r="K85" s="708">
        <f t="shared" si="2"/>
        <v>225470</v>
      </c>
    </row>
    <row r="86" spans="1:20" x14ac:dyDescent="0.2">
      <c r="A86" s="629"/>
      <c r="B86" s="629" t="s">
        <v>3592</v>
      </c>
      <c r="C86" s="629">
        <v>23</v>
      </c>
      <c r="D86" s="629" t="s">
        <v>3593</v>
      </c>
      <c r="E86" s="698">
        <v>44470</v>
      </c>
      <c r="F86" s="629" t="s">
        <v>555</v>
      </c>
      <c r="G86" s="699">
        <v>35</v>
      </c>
      <c r="H86" s="708">
        <v>5159</v>
      </c>
      <c r="I86" s="708">
        <f t="shared" si="1"/>
        <v>180565</v>
      </c>
      <c r="J86" s="708">
        <v>6442</v>
      </c>
      <c r="K86" s="708">
        <f t="shared" si="2"/>
        <v>225470</v>
      </c>
    </row>
    <row r="87" spans="1:20" x14ac:dyDescent="0.2">
      <c r="A87" s="629"/>
      <c r="B87" s="629" t="s">
        <v>3592</v>
      </c>
      <c r="C87" s="629">
        <v>23</v>
      </c>
      <c r="D87" s="629" t="s">
        <v>3593</v>
      </c>
      <c r="E87" s="698">
        <v>44501</v>
      </c>
      <c r="F87" s="629" t="s">
        <v>555</v>
      </c>
      <c r="G87" s="699">
        <v>35</v>
      </c>
      <c r="H87" s="708">
        <v>5159</v>
      </c>
      <c r="I87" s="708">
        <f t="shared" si="1"/>
        <v>180565</v>
      </c>
      <c r="J87" s="708">
        <v>6442</v>
      </c>
      <c r="K87" s="708">
        <f t="shared" si="2"/>
        <v>225470</v>
      </c>
    </row>
    <row r="88" spans="1:20" x14ac:dyDescent="0.2">
      <c r="A88" s="629"/>
      <c r="B88" s="629" t="s">
        <v>3592</v>
      </c>
      <c r="C88" s="629">
        <v>23</v>
      </c>
      <c r="D88" s="629" t="s">
        <v>3593</v>
      </c>
      <c r="E88" s="698">
        <v>44531</v>
      </c>
      <c r="F88" s="629" t="s">
        <v>555</v>
      </c>
      <c r="G88" s="699">
        <v>35</v>
      </c>
      <c r="H88" s="708">
        <v>5159</v>
      </c>
      <c r="I88" s="708">
        <f t="shared" si="1"/>
        <v>180565</v>
      </c>
      <c r="J88" s="708">
        <v>6442</v>
      </c>
      <c r="K88" s="708">
        <f t="shared" si="2"/>
        <v>225470</v>
      </c>
    </row>
    <row r="89" spans="1:20" x14ac:dyDescent="0.2">
      <c r="A89" s="629"/>
      <c r="B89" s="629" t="s">
        <v>3592</v>
      </c>
      <c r="C89" s="629">
        <v>23</v>
      </c>
      <c r="D89" s="629" t="s">
        <v>3593</v>
      </c>
      <c r="E89" s="698">
        <v>44562</v>
      </c>
      <c r="F89" s="629" t="s">
        <v>555</v>
      </c>
      <c r="G89" s="699">
        <v>36.154000000000003</v>
      </c>
      <c r="H89" s="708">
        <v>5159</v>
      </c>
      <c r="I89" s="708">
        <f t="shared" si="1"/>
        <v>186518.486</v>
      </c>
      <c r="J89" s="708">
        <v>6442</v>
      </c>
      <c r="K89" s="708">
        <f t="shared" si="2"/>
        <v>232904.06800000003</v>
      </c>
    </row>
    <row r="90" spans="1:20" x14ac:dyDescent="0.2">
      <c r="A90" s="629"/>
      <c r="B90" s="629" t="s">
        <v>3592</v>
      </c>
      <c r="C90" s="629">
        <v>23</v>
      </c>
      <c r="D90" s="629" t="s">
        <v>3593</v>
      </c>
      <c r="E90" s="698">
        <v>44593</v>
      </c>
      <c r="F90" s="629" t="s">
        <v>555</v>
      </c>
      <c r="G90" s="699">
        <v>36.154000000000003</v>
      </c>
      <c r="H90" s="708">
        <v>5159</v>
      </c>
      <c r="I90" s="708">
        <f t="shared" si="1"/>
        <v>186518.486</v>
      </c>
      <c r="J90" s="708">
        <v>6442</v>
      </c>
      <c r="K90" s="708">
        <f t="shared" si="2"/>
        <v>232904.06800000003</v>
      </c>
    </row>
    <row r="91" spans="1:20" x14ac:dyDescent="0.2">
      <c r="A91" s="629"/>
      <c r="B91" s="629" t="s">
        <v>3592</v>
      </c>
      <c r="C91" s="629">
        <v>23</v>
      </c>
      <c r="D91" s="629" t="s">
        <v>3593</v>
      </c>
      <c r="E91" s="698">
        <v>44621</v>
      </c>
      <c r="F91" s="629" t="s">
        <v>555</v>
      </c>
      <c r="G91" s="699">
        <v>36.154000000000003</v>
      </c>
      <c r="H91" s="708">
        <v>5159</v>
      </c>
      <c r="I91" s="708">
        <f t="shared" si="1"/>
        <v>186518.486</v>
      </c>
      <c r="J91" s="708">
        <v>6442</v>
      </c>
      <c r="K91" s="708">
        <f t="shared" si="2"/>
        <v>232904.06800000003</v>
      </c>
    </row>
    <row r="92" spans="1:20" x14ac:dyDescent="0.2">
      <c r="A92" s="629"/>
      <c r="B92" s="629" t="s">
        <v>3592</v>
      </c>
      <c r="C92" s="629">
        <v>23</v>
      </c>
      <c r="D92" s="629" t="s">
        <v>3593</v>
      </c>
      <c r="E92" s="698">
        <v>44652</v>
      </c>
      <c r="F92" s="629" t="s">
        <v>555</v>
      </c>
      <c r="G92" s="699">
        <v>36.154000000000003</v>
      </c>
      <c r="H92" s="708">
        <v>5159</v>
      </c>
      <c r="I92" s="708">
        <f t="shared" si="1"/>
        <v>186518.486</v>
      </c>
      <c r="J92" s="708">
        <v>6442</v>
      </c>
      <c r="K92" s="708">
        <f t="shared" si="2"/>
        <v>232904.06800000003</v>
      </c>
    </row>
    <row r="93" spans="1:20" x14ac:dyDescent="0.2">
      <c r="A93" s="629"/>
      <c r="B93" s="629" t="s">
        <v>3592</v>
      </c>
      <c r="C93" s="629">
        <v>23</v>
      </c>
      <c r="D93" s="629" t="s">
        <v>3593</v>
      </c>
      <c r="E93" s="698">
        <v>44682</v>
      </c>
      <c r="F93" s="629" t="s">
        <v>555</v>
      </c>
      <c r="G93" s="699">
        <v>36.154000000000003</v>
      </c>
      <c r="H93" s="708">
        <v>5159</v>
      </c>
      <c r="I93" s="708">
        <f t="shared" si="1"/>
        <v>186518.486</v>
      </c>
      <c r="J93" s="708">
        <v>6442</v>
      </c>
      <c r="K93" s="708">
        <f t="shared" si="2"/>
        <v>232904.06800000003</v>
      </c>
    </row>
    <row r="94" spans="1:20" x14ac:dyDescent="0.2">
      <c r="A94" s="629"/>
      <c r="B94" s="629" t="s">
        <v>3592</v>
      </c>
      <c r="C94" s="629">
        <v>23</v>
      </c>
      <c r="D94" s="629" t="s">
        <v>3593</v>
      </c>
      <c r="E94" s="698">
        <v>44713</v>
      </c>
      <c r="F94" s="629" t="s">
        <v>555</v>
      </c>
      <c r="G94" s="699">
        <v>36.154000000000003</v>
      </c>
      <c r="H94" s="708">
        <v>5159</v>
      </c>
      <c r="I94" s="708">
        <f t="shared" si="1"/>
        <v>186518.486</v>
      </c>
      <c r="J94" s="708">
        <v>6442</v>
      </c>
      <c r="K94" s="708">
        <f t="shared" si="2"/>
        <v>232904.06800000003</v>
      </c>
    </row>
    <row r="95" spans="1:20" x14ac:dyDescent="0.2">
      <c r="A95" s="629"/>
      <c r="B95" s="629" t="s">
        <v>3594</v>
      </c>
      <c r="C95" s="629">
        <v>69</v>
      </c>
      <c r="D95" s="629" t="s">
        <v>3595</v>
      </c>
      <c r="E95" s="698">
        <v>44378</v>
      </c>
      <c r="F95" s="629" t="s">
        <v>549</v>
      </c>
      <c r="G95" s="699">
        <v>33</v>
      </c>
      <c r="H95" s="708">
        <v>4479</v>
      </c>
      <c r="I95" s="708">
        <f t="shared" si="1"/>
        <v>147807</v>
      </c>
      <c r="J95" s="708">
        <v>787</v>
      </c>
      <c r="K95" s="708">
        <f t="shared" si="2"/>
        <v>25971</v>
      </c>
    </row>
    <row r="96" spans="1:20" x14ac:dyDescent="0.2">
      <c r="A96" s="629"/>
      <c r="B96" s="629" t="s">
        <v>3594</v>
      </c>
      <c r="C96" s="629">
        <v>69</v>
      </c>
      <c r="D96" s="629" t="s">
        <v>3595</v>
      </c>
      <c r="E96" s="698">
        <v>44409</v>
      </c>
      <c r="F96" s="629" t="s">
        <v>549</v>
      </c>
      <c r="G96" s="699">
        <v>33</v>
      </c>
      <c r="H96" s="708">
        <v>4479</v>
      </c>
      <c r="I96" s="708">
        <f t="shared" si="1"/>
        <v>147807</v>
      </c>
      <c r="J96" s="708">
        <v>787</v>
      </c>
      <c r="K96" s="708">
        <f t="shared" si="2"/>
        <v>25971</v>
      </c>
    </row>
    <row r="97" spans="1:11" x14ac:dyDescent="0.2">
      <c r="A97" s="629"/>
      <c r="B97" s="629" t="s">
        <v>3594</v>
      </c>
      <c r="C97" s="629">
        <v>69</v>
      </c>
      <c r="D97" s="629" t="s">
        <v>3595</v>
      </c>
      <c r="E97" s="698">
        <v>44440</v>
      </c>
      <c r="F97" s="629" t="s">
        <v>549</v>
      </c>
      <c r="G97" s="699">
        <v>33</v>
      </c>
      <c r="H97" s="708">
        <v>4479</v>
      </c>
      <c r="I97" s="708">
        <f t="shared" si="1"/>
        <v>147807</v>
      </c>
      <c r="J97" s="708">
        <v>787</v>
      </c>
      <c r="K97" s="708">
        <f t="shared" si="2"/>
        <v>25971</v>
      </c>
    </row>
    <row r="98" spans="1:11" x14ac:dyDescent="0.2">
      <c r="A98" s="629"/>
      <c r="B98" s="629" t="s">
        <v>3594</v>
      </c>
      <c r="C98" s="629">
        <v>69</v>
      </c>
      <c r="D98" s="629" t="s">
        <v>3595</v>
      </c>
      <c r="E98" s="698">
        <v>44470</v>
      </c>
      <c r="F98" s="629" t="s">
        <v>549</v>
      </c>
      <c r="G98" s="699">
        <v>33</v>
      </c>
      <c r="H98" s="708">
        <v>4479</v>
      </c>
      <c r="I98" s="708">
        <f t="shared" si="1"/>
        <v>147807</v>
      </c>
      <c r="J98" s="708">
        <v>787</v>
      </c>
      <c r="K98" s="708">
        <f t="shared" si="2"/>
        <v>25971</v>
      </c>
    </row>
    <row r="99" spans="1:11" x14ac:dyDescent="0.2">
      <c r="A99" s="629"/>
      <c r="B99" s="629" t="s">
        <v>3594</v>
      </c>
      <c r="C99" s="629">
        <v>69</v>
      </c>
      <c r="D99" s="629" t="s">
        <v>3595</v>
      </c>
      <c r="E99" s="698">
        <v>44501</v>
      </c>
      <c r="F99" s="629" t="s">
        <v>549</v>
      </c>
      <c r="G99" s="699">
        <v>33</v>
      </c>
      <c r="H99" s="708">
        <v>4479</v>
      </c>
      <c r="I99" s="708">
        <f t="shared" si="1"/>
        <v>147807</v>
      </c>
      <c r="J99" s="708">
        <v>787</v>
      </c>
      <c r="K99" s="708">
        <f t="shared" si="2"/>
        <v>25971</v>
      </c>
    </row>
    <row r="100" spans="1:11" x14ac:dyDescent="0.2">
      <c r="A100" s="629"/>
      <c r="B100" s="629" t="s">
        <v>3594</v>
      </c>
      <c r="C100" s="629">
        <v>69</v>
      </c>
      <c r="D100" s="629" t="s">
        <v>3595</v>
      </c>
      <c r="E100" s="698">
        <v>44531</v>
      </c>
      <c r="F100" s="629" t="s">
        <v>549</v>
      </c>
      <c r="G100" s="699">
        <v>33</v>
      </c>
      <c r="H100" s="708">
        <v>4479</v>
      </c>
      <c r="I100" s="708">
        <f t="shared" si="1"/>
        <v>147807</v>
      </c>
      <c r="J100" s="708">
        <v>787</v>
      </c>
      <c r="K100" s="708">
        <f t="shared" si="2"/>
        <v>25971</v>
      </c>
    </row>
    <row r="101" spans="1:11" x14ac:dyDescent="0.2">
      <c r="A101" s="629"/>
      <c r="B101" s="629" t="s">
        <v>3594</v>
      </c>
      <c r="C101" s="629">
        <v>69</v>
      </c>
      <c r="D101" s="629" t="s">
        <v>3595</v>
      </c>
      <c r="E101" s="698">
        <v>44562</v>
      </c>
      <c r="F101" s="629" t="s">
        <v>549</v>
      </c>
      <c r="G101" s="699">
        <v>33</v>
      </c>
      <c r="H101" s="708">
        <v>4479</v>
      </c>
      <c r="I101" s="708">
        <f t="shared" si="1"/>
        <v>147807</v>
      </c>
      <c r="J101" s="708">
        <v>787</v>
      </c>
      <c r="K101" s="708">
        <f t="shared" si="2"/>
        <v>25971</v>
      </c>
    </row>
    <row r="102" spans="1:11" x14ac:dyDescent="0.2">
      <c r="A102" s="629"/>
      <c r="B102" s="629" t="s">
        <v>3594</v>
      </c>
      <c r="C102" s="629">
        <v>69</v>
      </c>
      <c r="D102" s="629" t="s">
        <v>3595</v>
      </c>
      <c r="E102" s="698">
        <v>44593</v>
      </c>
      <c r="F102" s="629" t="s">
        <v>549</v>
      </c>
      <c r="G102" s="699">
        <v>33</v>
      </c>
      <c r="H102" s="708">
        <v>4479</v>
      </c>
      <c r="I102" s="708">
        <f t="shared" si="1"/>
        <v>147807</v>
      </c>
      <c r="J102" s="708">
        <v>787</v>
      </c>
      <c r="K102" s="708">
        <f t="shared" si="2"/>
        <v>25971</v>
      </c>
    </row>
    <row r="103" spans="1:11" x14ac:dyDescent="0.2">
      <c r="A103" s="629"/>
      <c r="B103" s="629" t="s">
        <v>3594</v>
      </c>
      <c r="C103" s="629">
        <v>69</v>
      </c>
      <c r="D103" s="629" t="s">
        <v>3595</v>
      </c>
      <c r="E103" s="698">
        <v>44621</v>
      </c>
      <c r="F103" s="629" t="s">
        <v>549</v>
      </c>
      <c r="G103" s="699">
        <v>33</v>
      </c>
      <c r="H103" s="708">
        <v>4479</v>
      </c>
      <c r="I103" s="708">
        <f t="shared" si="1"/>
        <v>147807</v>
      </c>
      <c r="J103" s="708">
        <v>787</v>
      </c>
      <c r="K103" s="708">
        <f t="shared" si="2"/>
        <v>25971</v>
      </c>
    </row>
    <row r="104" spans="1:11" x14ac:dyDescent="0.2">
      <c r="A104" s="629"/>
      <c r="B104" s="629" t="s">
        <v>3594</v>
      </c>
      <c r="C104" s="629">
        <v>69</v>
      </c>
      <c r="D104" s="629" t="s">
        <v>3595</v>
      </c>
      <c r="E104" s="698">
        <v>44652</v>
      </c>
      <c r="F104" s="629" t="s">
        <v>549</v>
      </c>
      <c r="G104" s="699">
        <v>33</v>
      </c>
      <c r="H104" s="708">
        <v>4479</v>
      </c>
      <c r="I104" s="708">
        <f t="shared" si="1"/>
        <v>147807</v>
      </c>
      <c r="J104" s="708">
        <v>787</v>
      </c>
      <c r="K104" s="708">
        <f t="shared" si="2"/>
        <v>25971</v>
      </c>
    </row>
    <row r="105" spans="1:11" x14ac:dyDescent="0.2">
      <c r="A105" s="629"/>
      <c r="B105" s="629" t="s">
        <v>3594</v>
      </c>
      <c r="C105" s="629">
        <v>69</v>
      </c>
      <c r="D105" s="629" t="s">
        <v>3595</v>
      </c>
      <c r="E105" s="698">
        <v>44682</v>
      </c>
      <c r="F105" s="629" t="s">
        <v>549</v>
      </c>
      <c r="G105" s="699">
        <v>33</v>
      </c>
      <c r="H105" s="708">
        <v>4479</v>
      </c>
      <c r="I105" s="708">
        <f t="shared" si="1"/>
        <v>147807</v>
      </c>
      <c r="J105" s="708">
        <v>787</v>
      </c>
      <c r="K105" s="708">
        <f t="shared" si="2"/>
        <v>25971</v>
      </c>
    </row>
    <row r="106" spans="1:11" x14ac:dyDescent="0.2">
      <c r="A106" s="629"/>
      <c r="B106" s="629" t="s">
        <v>3594</v>
      </c>
      <c r="C106" s="629">
        <v>69</v>
      </c>
      <c r="D106" s="629" t="s">
        <v>3595</v>
      </c>
      <c r="E106" s="698">
        <v>44713</v>
      </c>
      <c r="F106" s="629" t="s">
        <v>549</v>
      </c>
      <c r="G106" s="699">
        <v>33</v>
      </c>
      <c r="H106" s="708">
        <v>4479</v>
      </c>
      <c r="I106" s="708">
        <f t="shared" si="1"/>
        <v>147807</v>
      </c>
      <c r="J106" s="708">
        <v>787</v>
      </c>
      <c r="K106" s="708">
        <f t="shared" si="2"/>
        <v>25971</v>
      </c>
    </row>
    <row r="107" spans="1:11" x14ac:dyDescent="0.2">
      <c r="A107" s="629"/>
      <c r="B107" s="629" t="s">
        <v>3594</v>
      </c>
      <c r="C107" s="629">
        <v>69</v>
      </c>
      <c r="D107" s="629" t="s">
        <v>3595</v>
      </c>
      <c r="E107" s="698">
        <v>44378</v>
      </c>
      <c r="F107" s="629" t="s">
        <v>555</v>
      </c>
      <c r="G107" s="699">
        <v>33</v>
      </c>
      <c r="H107" s="708">
        <v>5159</v>
      </c>
      <c r="I107" s="708">
        <f t="shared" si="1"/>
        <v>170247</v>
      </c>
      <c r="J107" s="708">
        <v>787</v>
      </c>
      <c r="K107" s="708">
        <f t="shared" si="2"/>
        <v>25971</v>
      </c>
    </row>
    <row r="108" spans="1:11" x14ac:dyDescent="0.2">
      <c r="A108" s="629"/>
      <c r="B108" s="629" t="s">
        <v>3594</v>
      </c>
      <c r="C108" s="629">
        <v>69</v>
      </c>
      <c r="D108" s="629" t="s">
        <v>3595</v>
      </c>
      <c r="E108" s="698">
        <v>44409</v>
      </c>
      <c r="F108" s="629" t="s">
        <v>555</v>
      </c>
      <c r="G108" s="699">
        <v>33</v>
      </c>
      <c r="H108" s="708">
        <v>5159</v>
      </c>
      <c r="I108" s="708">
        <f t="shared" si="1"/>
        <v>170247</v>
      </c>
      <c r="J108" s="708">
        <v>787</v>
      </c>
      <c r="K108" s="708">
        <f t="shared" si="2"/>
        <v>25971</v>
      </c>
    </row>
    <row r="109" spans="1:11" x14ac:dyDescent="0.2">
      <c r="A109" s="629"/>
      <c r="B109" s="629" t="s">
        <v>3594</v>
      </c>
      <c r="C109" s="629">
        <v>69</v>
      </c>
      <c r="D109" s="629" t="s">
        <v>3595</v>
      </c>
      <c r="E109" s="698">
        <v>44440</v>
      </c>
      <c r="F109" s="629" t="s">
        <v>555</v>
      </c>
      <c r="G109" s="699">
        <v>33</v>
      </c>
      <c r="H109" s="708">
        <v>5159</v>
      </c>
      <c r="I109" s="708">
        <f t="shared" si="1"/>
        <v>170247</v>
      </c>
      <c r="J109" s="708">
        <v>787</v>
      </c>
      <c r="K109" s="708">
        <f t="shared" si="2"/>
        <v>25971</v>
      </c>
    </row>
    <row r="110" spans="1:11" x14ac:dyDescent="0.2">
      <c r="A110" s="629"/>
      <c r="B110" s="629" t="s">
        <v>3594</v>
      </c>
      <c r="C110" s="629">
        <v>69</v>
      </c>
      <c r="D110" s="629" t="s">
        <v>3595</v>
      </c>
      <c r="E110" s="698">
        <v>44470</v>
      </c>
      <c r="F110" s="629" t="s">
        <v>555</v>
      </c>
      <c r="G110" s="699">
        <v>33</v>
      </c>
      <c r="H110" s="708">
        <v>5159</v>
      </c>
      <c r="I110" s="708">
        <f t="shared" si="1"/>
        <v>170247</v>
      </c>
      <c r="J110" s="708">
        <v>787</v>
      </c>
      <c r="K110" s="708">
        <f t="shared" si="2"/>
        <v>25971</v>
      </c>
    </row>
    <row r="111" spans="1:11" x14ac:dyDescent="0.2">
      <c r="A111" s="629"/>
      <c r="B111" s="629" t="s">
        <v>3594</v>
      </c>
      <c r="C111" s="629">
        <v>69</v>
      </c>
      <c r="D111" s="629" t="s">
        <v>3595</v>
      </c>
      <c r="E111" s="698">
        <v>44501</v>
      </c>
      <c r="F111" s="629" t="s">
        <v>555</v>
      </c>
      <c r="G111" s="699">
        <v>33</v>
      </c>
      <c r="H111" s="708">
        <v>5159</v>
      </c>
      <c r="I111" s="708">
        <f t="shared" si="1"/>
        <v>170247</v>
      </c>
      <c r="J111" s="708">
        <v>787</v>
      </c>
      <c r="K111" s="708">
        <f t="shared" si="2"/>
        <v>25971</v>
      </c>
    </row>
    <row r="112" spans="1:11" x14ac:dyDescent="0.2">
      <c r="A112" s="629"/>
      <c r="B112" s="629" t="s">
        <v>3594</v>
      </c>
      <c r="C112" s="629">
        <v>69</v>
      </c>
      <c r="D112" s="629" t="s">
        <v>3595</v>
      </c>
      <c r="E112" s="698">
        <v>44531</v>
      </c>
      <c r="F112" s="629" t="s">
        <v>555</v>
      </c>
      <c r="G112" s="699">
        <v>33</v>
      </c>
      <c r="H112" s="708">
        <v>5159</v>
      </c>
      <c r="I112" s="708">
        <f t="shared" si="1"/>
        <v>170247</v>
      </c>
      <c r="J112" s="708">
        <v>787</v>
      </c>
      <c r="K112" s="708">
        <f t="shared" si="2"/>
        <v>25971</v>
      </c>
    </row>
    <row r="113" spans="1:11" x14ac:dyDescent="0.2">
      <c r="A113" s="629"/>
      <c r="B113" s="629" t="s">
        <v>3594</v>
      </c>
      <c r="C113" s="629">
        <v>69</v>
      </c>
      <c r="D113" s="629" t="s">
        <v>3595</v>
      </c>
      <c r="E113" s="698">
        <v>44562</v>
      </c>
      <c r="F113" s="629" t="s">
        <v>555</v>
      </c>
      <c r="G113" s="699">
        <v>33</v>
      </c>
      <c r="H113" s="708">
        <v>5159</v>
      </c>
      <c r="I113" s="708">
        <f t="shared" si="1"/>
        <v>170247</v>
      </c>
      <c r="J113" s="708">
        <v>787</v>
      </c>
      <c r="K113" s="708">
        <f t="shared" si="2"/>
        <v>25971</v>
      </c>
    </row>
    <row r="114" spans="1:11" x14ac:dyDescent="0.2">
      <c r="A114" s="629"/>
      <c r="B114" s="629" t="s">
        <v>3594</v>
      </c>
      <c r="C114" s="629">
        <v>69</v>
      </c>
      <c r="D114" s="629" t="s">
        <v>3595</v>
      </c>
      <c r="E114" s="698">
        <v>44593</v>
      </c>
      <c r="F114" s="629" t="s">
        <v>555</v>
      </c>
      <c r="G114" s="699">
        <v>33</v>
      </c>
      <c r="H114" s="708">
        <v>5159</v>
      </c>
      <c r="I114" s="708">
        <f t="shared" si="1"/>
        <v>170247</v>
      </c>
      <c r="J114" s="708">
        <v>787</v>
      </c>
      <c r="K114" s="708">
        <f t="shared" si="2"/>
        <v>25971</v>
      </c>
    </row>
    <row r="115" spans="1:11" x14ac:dyDescent="0.2">
      <c r="A115" s="629"/>
      <c r="B115" s="629" t="s">
        <v>3594</v>
      </c>
      <c r="C115" s="629">
        <v>69</v>
      </c>
      <c r="D115" s="629" t="s">
        <v>3595</v>
      </c>
      <c r="E115" s="698">
        <v>44621</v>
      </c>
      <c r="F115" s="629" t="s">
        <v>555</v>
      </c>
      <c r="G115" s="699">
        <v>33</v>
      </c>
      <c r="H115" s="708">
        <v>5159</v>
      </c>
      <c r="I115" s="708">
        <f t="shared" si="1"/>
        <v>170247</v>
      </c>
      <c r="J115" s="708">
        <v>787</v>
      </c>
      <c r="K115" s="708">
        <f t="shared" si="2"/>
        <v>25971</v>
      </c>
    </row>
    <row r="116" spans="1:11" x14ac:dyDescent="0.2">
      <c r="A116" s="629"/>
      <c r="B116" s="629" t="s">
        <v>3594</v>
      </c>
      <c r="C116" s="629">
        <v>69</v>
      </c>
      <c r="D116" s="629" t="s">
        <v>3595</v>
      </c>
      <c r="E116" s="698">
        <v>44652</v>
      </c>
      <c r="F116" s="629" t="s">
        <v>555</v>
      </c>
      <c r="G116" s="699">
        <v>33</v>
      </c>
      <c r="H116" s="708">
        <v>5159</v>
      </c>
      <c r="I116" s="708">
        <f t="shared" si="1"/>
        <v>170247</v>
      </c>
      <c r="J116" s="708">
        <v>787</v>
      </c>
      <c r="K116" s="708">
        <f t="shared" si="2"/>
        <v>25971</v>
      </c>
    </row>
    <row r="117" spans="1:11" x14ac:dyDescent="0.2">
      <c r="A117" s="629"/>
      <c r="B117" s="629" t="s">
        <v>3594</v>
      </c>
      <c r="C117" s="629">
        <v>69</v>
      </c>
      <c r="D117" s="629" t="s">
        <v>3595</v>
      </c>
      <c r="E117" s="698">
        <v>44682</v>
      </c>
      <c r="F117" s="629" t="s">
        <v>555</v>
      </c>
      <c r="G117" s="699">
        <v>33</v>
      </c>
      <c r="H117" s="708">
        <v>5159</v>
      </c>
      <c r="I117" s="708">
        <f t="shared" si="1"/>
        <v>170247</v>
      </c>
      <c r="J117" s="708">
        <v>787</v>
      </c>
      <c r="K117" s="708">
        <f t="shared" si="2"/>
        <v>25971</v>
      </c>
    </row>
    <row r="118" spans="1:11" x14ac:dyDescent="0.2">
      <c r="A118" s="629"/>
      <c r="B118" s="629" t="s">
        <v>3594</v>
      </c>
      <c r="C118" s="629">
        <v>69</v>
      </c>
      <c r="D118" s="629" t="s">
        <v>3595</v>
      </c>
      <c r="E118" s="698">
        <v>44713</v>
      </c>
      <c r="F118" s="629" t="s">
        <v>555</v>
      </c>
      <c r="G118" s="699">
        <v>33</v>
      </c>
      <c r="H118" s="708">
        <v>5159</v>
      </c>
      <c r="I118" s="708">
        <f t="shared" si="1"/>
        <v>170247</v>
      </c>
      <c r="J118" s="708">
        <v>787</v>
      </c>
      <c r="K118" s="708">
        <f t="shared" si="2"/>
        <v>25971</v>
      </c>
    </row>
    <row r="119" spans="1:11" x14ac:dyDescent="0.2">
      <c r="A119" s="629"/>
    </row>
    <row r="120" spans="1:11" x14ac:dyDescent="0.2">
      <c r="A120" s="629"/>
    </row>
    <row r="121" spans="1:11" x14ac:dyDescent="0.2">
      <c r="A121" s="629"/>
    </row>
    <row r="122" spans="1:11" x14ac:dyDescent="0.2">
      <c r="A122" s="629"/>
    </row>
    <row r="123" spans="1:11" x14ac:dyDescent="0.2">
      <c r="A123" s="629"/>
    </row>
    <row r="124" spans="1:11" x14ac:dyDescent="0.2">
      <c r="A124" s="629"/>
    </row>
    <row r="125" spans="1:11" x14ac:dyDescent="0.2">
      <c r="A125" s="629"/>
    </row>
    <row r="126" spans="1:11" x14ac:dyDescent="0.2">
      <c r="A126" s="629"/>
    </row>
    <row r="127" spans="1:11" x14ac:dyDescent="0.2">
      <c r="A127" s="629"/>
    </row>
    <row r="128" spans="1:11" x14ac:dyDescent="0.2">
      <c r="A128" s="629"/>
    </row>
    <row r="129" spans="1:1" x14ac:dyDescent="0.2">
      <c r="A129" s="629"/>
    </row>
    <row r="130" spans="1:1" x14ac:dyDescent="0.2">
      <c r="A130" s="629"/>
    </row>
    <row r="131" spans="1:1" x14ac:dyDescent="0.2">
      <c r="A131" s="629"/>
    </row>
    <row r="132" spans="1:1" x14ac:dyDescent="0.2">
      <c r="A132" s="629"/>
    </row>
    <row r="133" spans="1:1" x14ac:dyDescent="0.2">
      <c r="A133" s="629"/>
    </row>
    <row r="134" spans="1:1" x14ac:dyDescent="0.2">
      <c r="A134" s="629"/>
    </row>
    <row r="135" spans="1:1" x14ac:dyDescent="0.2">
      <c r="A135" s="629"/>
    </row>
    <row r="136" spans="1:1" x14ac:dyDescent="0.2">
      <c r="A136" s="629"/>
    </row>
    <row r="137" spans="1:1" x14ac:dyDescent="0.2">
      <c r="A137" s="629"/>
    </row>
    <row r="138" spans="1:1" x14ac:dyDescent="0.2">
      <c r="A138" s="629"/>
    </row>
    <row r="139" spans="1:1" x14ac:dyDescent="0.2">
      <c r="A139" s="629"/>
    </row>
    <row r="140" spans="1:1" x14ac:dyDescent="0.2">
      <c r="A140" s="629"/>
    </row>
    <row r="141" spans="1:1" x14ac:dyDescent="0.2">
      <c r="A141" s="629"/>
    </row>
    <row r="142" spans="1:1" x14ac:dyDescent="0.2">
      <c r="A142" s="629"/>
    </row>
    <row r="143" spans="1:1" x14ac:dyDescent="0.2">
      <c r="A143" s="629"/>
    </row>
    <row r="144" spans="1:1" x14ac:dyDescent="0.2">
      <c r="A144" s="629"/>
    </row>
    <row r="145" spans="1:1" x14ac:dyDescent="0.2">
      <c r="A145" s="629"/>
    </row>
    <row r="146" spans="1:1" x14ac:dyDescent="0.2">
      <c r="A146" s="629"/>
    </row>
    <row r="147" spans="1:1" x14ac:dyDescent="0.2">
      <c r="A147" s="629"/>
    </row>
    <row r="148" spans="1:1" x14ac:dyDescent="0.2">
      <c r="A148" s="629"/>
    </row>
    <row r="149" spans="1:1" x14ac:dyDescent="0.2">
      <c r="A149" s="629"/>
    </row>
    <row r="150" spans="1:1" x14ac:dyDescent="0.2">
      <c r="A150" s="629"/>
    </row>
    <row r="151" spans="1:1" x14ac:dyDescent="0.2">
      <c r="A151" s="629"/>
    </row>
    <row r="152" spans="1:1" x14ac:dyDescent="0.2">
      <c r="A152" s="629"/>
    </row>
    <row r="153" spans="1:1" x14ac:dyDescent="0.2">
      <c r="A153" s="629"/>
    </row>
    <row r="154" spans="1:1" x14ac:dyDescent="0.2">
      <c r="A154" s="629"/>
    </row>
    <row r="155" spans="1:1" x14ac:dyDescent="0.2">
      <c r="A155" s="629"/>
    </row>
    <row r="156" spans="1:1" x14ac:dyDescent="0.2">
      <c r="A156" s="629"/>
    </row>
    <row r="157" spans="1:1" x14ac:dyDescent="0.2">
      <c r="A157" s="629"/>
    </row>
    <row r="158" spans="1:1" x14ac:dyDescent="0.2">
      <c r="A158" s="629"/>
    </row>
    <row r="159" spans="1:1" x14ac:dyDescent="0.2">
      <c r="A159" s="629"/>
    </row>
    <row r="160" spans="1:1" x14ac:dyDescent="0.2">
      <c r="A160" s="629"/>
    </row>
    <row r="161" spans="1:1" x14ac:dyDescent="0.2">
      <c r="A161" s="629"/>
    </row>
    <row r="162" spans="1:1" x14ac:dyDescent="0.2">
      <c r="A162" s="629"/>
    </row>
    <row r="163" spans="1:1" x14ac:dyDescent="0.2">
      <c r="A163" s="629"/>
    </row>
    <row r="164" spans="1:1" x14ac:dyDescent="0.2">
      <c r="A164" s="629"/>
    </row>
    <row r="165" spans="1:1" x14ac:dyDescent="0.2">
      <c r="A165" s="629"/>
    </row>
    <row r="166" spans="1:1" x14ac:dyDescent="0.2">
      <c r="A166" s="629"/>
    </row>
    <row r="167" spans="1:1" x14ac:dyDescent="0.2">
      <c r="A167" s="629"/>
    </row>
    <row r="168" spans="1:1" x14ac:dyDescent="0.2">
      <c r="A168" s="629"/>
    </row>
    <row r="169" spans="1:1" x14ac:dyDescent="0.2">
      <c r="A169" s="629"/>
    </row>
    <row r="170" spans="1:1" x14ac:dyDescent="0.2">
      <c r="A170" s="629"/>
    </row>
    <row r="171" spans="1:1" x14ac:dyDescent="0.2">
      <c r="A171" s="629"/>
    </row>
    <row r="172" spans="1:1" x14ac:dyDescent="0.2">
      <c r="A172" s="629"/>
    </row>
    <row r="173" spans="1:1" x14ac:dyDescent="0.2">
      <c r="A173" s="629"/>
    </row>
    <row r="174" spans="1:1" x14ac:dyDescent="0.2">
      <c r="A174" s="629"/>
    </row>
    <row r="175" spans="1:1" x14ac:dyDescent="0.2">
      <c r="A175" s="629"/>
    </row>
    <row r="176" spans="1:1" x14ac:dyDescent="0.2">
      <c r="A176" s="629"/>
    </row>
    <row r="177" spans="1:1" x14ac:dyDescent="0.2">
      <c r="A177" s="629"/>
    </row>
    <row r="178" spans="1:1" x14ac:dyDescent="0.2">
      <c r="A178" s="629"/>
    </row>
    <row r="179" spans="1:1" x14ac:dyDescent="0.2">
      <c r="A179" s="629"/>
    </row>
    <row r="180" spans="1:1" x14ac:dyDescent="0.2">
      <c r="A180" s="629"/>
    </row>
    <row r="181" spans="1:1" x14ac:dyDescent="0.2">
      <c r="A181" s="629"/>
    </row>
    <row r="182" spans="1:1" x14ac:dyDescent="0.2">
      <c r="A182" s="629"/>
    </row>
    <row r="183" spans="1:1" x14ac:dyDescent="0.2">
      <c r="A183" s="629"/>
    </row>
    <row r="184" spans="1:1" x14ac:dyDescent="0.2">
      <c r="A184" s="629"/>
    </row>
    <row r="185" spans="1:1" x14ac:dyDescent="0.2">
      <c r="A185" s="629"/>
    </row>
    <row r="186" spans="1:1" x14ac:dyDescent="0.2">
      <c r="A186" s="629"/>
    </row>
    <row r="187" spans="1:1" x14ac:dyDescent="0.2">
      <c r="A187" s="629"/>
    </row>
    <row r="188" spans="1:1" x14ac:dyDescent="0.2">
      <c r="A188" s="629"/>
    </row>
    <row r="189" spans="1:1" x14ac:dyDescent="0.2">
      <c r="A189" s="629"/>
    </row>
    <row r="190" spans="1:1" x14ac:dyDescent="0.2">
      <c r="A190" s="629"/>
    </row>
    <row r="191" spans="1:1" x14ac:dyDescent="0.2">
      <c r="A191" s="629"/>
    </row>
    <row r="192" spans="1:1" x14ac:dyDescent="0.2">
      <c r="A192" s="629"/>
    </row>
    <row r="193" spans="1:1" x14ac:dyDescent="0.2">
      <c r="A193" s="629"/>
    </row>
    <row r="194" spans="1:1" x14ac:dyDescent="0.2">
      <c r="A194" s="629"/>
    </row>
    <row r="195" spans="1:1" x14ac:dyDescent="0.2">
      <c r="A195" s="629"/>
    </row>
    <row r="196" spans="1:1" x14ac:dyDescent="0.2">
      <c r="A196" s="629"/>
    </row>
    <row r="197" spans="1:1" x14ac:dyDescent="0.2">
      <c r="A197" s="629"/>
    </row>
    <row r="198" spans="1:1" x14ac:dyDescent="0.2">
      <c r="A198" s="629"/>
    </row>
    <row r="199" spans="1:1" x14ac:dyDescent="0.2">
      <c r="A199" s="629"/>
    </row>
    <row r="200" spans="1:1" x14ac:dyDescent="0.2">
      <c r="A200" s="629"/>
    </row>
    <row r="201" spans="1:1" x14ac:dyDescent="0.2">
      <c r="A201" s="629"/>
    </row>
    <row r="202" spans="1:1" x14ac:dyDescent="0.2">
      <c r="A202" s="629"/>
    </row>
    <row r="203" spans="1:1" x14ac:dyDescent="0.2">
      <c r="A203" s="629"/>
    </row>
    <row r="204" spans="1:1" x14ac:dyDescent="0.2">
      <c r="A204" s="629"/>
    </row>
    <row r="205" spans="1:1" x14ac:dyDescent="0.2">
      <c r="A205" s="629"/>
    </row>
    <row r="206" spans="1:1" x14ac:dyDescent="0.2">
      <c r="A206" s="629"/>
    </row>
    <row r="207" spans="1:1" x14ac:dyDescent="0.2">
      <c r="A207" s="629"/>
    </row>
    <row r="208" spans="1:1" x14ac:dyDescent="0.2">
      <c r="A208" s="629"/>
    </row>
    <row r="209" spans="1:1" x14ac:dyDescent="0.2">
      <c r="A209" s="629"/>
    </row>
    <row r="210" spans="1:1" x14ac:dyDescent="0.2">
      <c r="A210" s="629"/>
    </row>
    <row r="211" spans="1:1" x14ac:dyDescent="0.2">
      <c r="A211" s="629"/>
    </row>
    <row r="212" spans="1:1" x14ac:dyDescent="0.2">
      <c r="A212" s="629"/>
    </row>
    <row r="213" spans="1:1" x14ac:dyDescent="0.2">
      <c r="A213" s="629"/>
    </row>
    <row r="214" spans="1:1" x14ac:dyDescent="0.2">
      <c r="A214" s="629"/>
    </row>
    <row r="215" spans="1:1" x14ac:dyDescent="0.2">
      <c r="A215" s="629"/>
    </row>
    <row r="216" spans="1:1" x14ac:dyDescent="0.2">
      <c r="A216" s="629"/>
    </row>
    <row r="217" spans="1:1" x14ac:dyDescent="0.2">
      <c r="A217" s="629"/>
    </row>
    <row r="218" spans="1:1" x14ac:dyDescent="0.2">
      <c r="A218" s="629"/>
    </row>
    <row r="219" spans="1:1" x14ac:dyDescent="0.2">
      <c r="A219" s="629"/>
    </row>
    <row r="220" spans="1:1" x14ac:dyDescent="0.2">
      <c r="A220" s="629"/>
    </row>
    <row r="221" spans="1:1" x14ac:dyDescent="0.2">
      <c r="A221" s="629"/>
    </row>
    <row r="222" spans="1:1" x14ac:dyDescent="0.2">
      <c r="A222" s="629"/>
    </row>
    <row r="223" spans="1:1" x14ac:dyDescent="0.2">
      <c r="A223" s="629"/>
    </row>
    <row r="224" spans="1:1" x14ac:dyDescent="0.2">
      <c r="A224" s="629"/>
    </row>
    <row r="225" spans="1:1" x14ac:dyDescent="0.2">
      <c r="A225" s="629"/>
    </row>
    <row r="226" spans="1:1" x14ac:dyDescent="0.2">
      <c r="A226" s="629"/>
    </row>
    <row r="227" spans="1:1" x14ac:dyDescent="0.2">
      <c r="A227" s="629"/>
    </row>
    <row r="228" spans="1:1" x14ac:dyDescent="0.2">
      <c r="A228" s="629"/>
    </row>
    <row r="229" spans="1:1" x14ac:dyDescent="0.2">
      <c r="A229" s="629"/>
    </row>
    <row r="230" spans="1:1" x14ac:dyDescent="0.2">
      <c r="A230" s="629"/>
    </row>
    <row r="231" spans="1:1" x14ac:dyDescent="0.2">
      <c r="A231" s="629"/>
    </row>
    <row r="232" spans="1:1" x14ac:dyDescent="0.2">
      <c r="A232" s="629"/>
    </row>
    <row r="233" spans="1:1" x14ac:dyDescent="0.2">
      <c r="A233" s="629"/>
    </row>
    <row r="234" spans="1:1" x14ac:dyDescent="0.2">
      <c r="A234" s="629"/>
    </row>
    <row r="235" spans="1:1" x14ac:dyDescent="0.2">
      <c r="A235" s="629"/>
    </row>
    <row r="236" spans="1:1" x14ac:dyDescent="0.2">
      <c r="A236" s="629"/>
    </row>
    <row r="237" spans="1:1" x14ac:dyDescent="0.2">
      <c r="A237" s="629"/>
    </row>
    <row r="238" spans="1:1" x14ac:dyDescent="0.2">
      <c r="A238" s="629"/>
    </row>
    <row r="239" spans="1:1" x14ac:dyDescent="0.2">
      <c r="A239" s="629"/>
    </row>
    <row r="240" spans="1:1" x14ac:dyDescent="0.2">
      <c r="A240" s="629"/>
    </row>
    <row r="241" spans="1:1" x14ac:dyDescent="0.2">
      <c r="A241" s="629"/>
    </row>
    <row r="242" spans="1:1" x14ac:dyDescent="0.2">
      <c r="A242" s="629"/>
    </row>
    <row r="243" spans="1:1" x14ac:dyDescent="0.2">
      <c r="A243" s="629"/>
    </row>
    <row r="244" spans="1:1" x14ac:dyDescent="0.2">
      <c r="A244" s="629"/>
    </row>
    <row r="245" spans="1:1" x14ac:dyDescent="0.2">
      <c r="A245" s="629"/>
    </row>
    <row r="246" spans="1:1" x14ac:dyDescent="0.2">
      <c r="A246" s="629"/>
    </row>
    <row r="247" spans="1:1" x14ac:dyDescent="0.2">
      <c r="A247" s="629"/>
    </row>
    <row r="248" spans="1:1" x14ac:dyDescent="0.2">
      <c r="A248" s="629"/>
    </row>
    <row r="249" spans="1:1" x14ac:dyDescent="0.2">
      <c r="A249" s="629"/>
    </row>
    <row r="250" spans="1:1" x14ac:dyDescent="0.2">
      <c r="A250" s="629"/>
    </row>
    <row r="251" spans="1:1" x14ac:dyDescent="0.2">
      <c r="A251" s="629"/>
    </row>
    <row r="252" spans="1:1" x14ac:dyDescent="0.2">
      <c r="A252" s="629"/>
    </row>
    <row r="253" spans="1:1" x14ac:dyDescent="0.2">
      <c r="A253" s="629"/>
    </row>
    <row r="254" spans="1:1" x14ac:dyDescent="0.2">
      <c r="A254" s="629"/>
    </row>
    <row r="255" spans="1:1" x14ac:dyDescent="0.2">
      <c r="A255" s="629"/>
    </row>
    <row r="256" spans="1:1" x14ac:dyDescent="0.2">
      <c r="A256" s="629"/>
    </row>
    <row r="257" spans="1:1" x14ac:dyDescent="0.2">
      <c r="A257" s="629"/>
    </row>
    <row r="258" spans="1:1" x14ac:dyDescent="0.2">
      <c r="A258" s="629"/>
    </row>
    <row r="259" spans="1:1" x14ac:dyDescent="0.2">
      <c r="A259" s="629"/>
    </row>
    <row r="260" spans="1:1" x14ac:dyDescent="0.2">
      <c r="A260" s="629"/>
    </row>
    <row r="261" spans="1:1" x14ac:dyDescent="0.2">
      <c r="A261" s="629"/>
    </row>
    <row r="262" spans="1:1" x14ac:dyDescent="0.2">
      <c r="A262" s="629"/>
    </row>
    <row r="263" spans="1:1" x14ac:dyDescent="0.2">
      <c r="A263" s="629"/>
    </row>
    <row r="264" spans="1:1" x14ac:dyDescent="0.2">
      <c r="A264" s="629"/>
    </row>
    <row r="265" spans="1:1" x14ac:dyDescent="0.2">
      <c r="A265" s="629"/>
    </row>
    <row r="266" spans="1:1" x14ac:dyDescent="0.2">
      <c r="A266" s="629"/>
    </row>
    <row r="267" spans="1:1" x14ac:dyDescent="0.2">
      <c r="A267" s="629"/>
    </row>
    <row r="268" spans="1:1" x14ac:dyDescent="0.2">
      <c r="A268" s="629"/>
    </row>
    <row r="269" spans="1:1" x14ac:dyDescent="0.2">
      <c r="A269" s="629"/>
    </row>
    <row r="270" spans="1:1" x14ac:dyDescent="0.2">
      <c r="A270" s="629"/>
    </row>
    <row r="271" spans="1:1" x14ac:dyDescent="0.2">
      <c r="A271" s="629"/>
    </row>
    <row r="272" spans="1:1" x14ac:dyDescent="0.2">
      <c r="A272" s="629"/>
    </row>
    <row r="273" spans="1:1" x14ac:dyDescent="0.2">
      <c r="A273" s="629"/>
    </row>
    <row r="274" spans="1:1" x14ac:dyDescent="0.2">
      <c r="A274" s="629"/>
    </row>
    <row r="275" spans="1:1" x14ac:dyDescent="0.2">
      <c r="A275" s="629"/>
    </row>
    <row r="276" spans="1:1" x14ac:dyDescent="0.2">
      <c r="A276" s="629"/>
    </row>
    <row r="277" spans="1:1" x14ac:dyDescent="0.2">
      <c r="A277" s="629"/>
    </row>
    <row r="278" spans="1:1" x14ac:dyDescent="0.2">
      <c r="A278" s="629"/>
    </row>
    <row r="279" spans="1:1" x14ac:dyDescent="0.2">
      <c r="A279" s="629"/>
    </row>
    <row r="280" spans="1:1" x14ac:dyDescent="0.2">
      <c r="A280" s="629"/>
    </row>
    <row r="281" spans="1:1" x14ac:dyDescent="0.2">
      <c r="A281" s="629"/>
    </row>
    <row r="282" spans="1:1" x14ac:dyDescent="0.2">
      <c r="A282" s="629"/>
    </row>
    <row r="283" spans="1:1" x14ac:dyDescent="0.2">
      <c r="A283" s="629"/>
    </row>
    <row r="284" spans="1:1" x14ac:dyDescent="0.2">
      <c r="A284" s="629"/>
    </row>
    <row r="285" spans="1:1" x14ac:dyDescent="0.2">
      <c r="A285" s="629"/>
    </row>
    <row r="286" spans="1:1" x14ac:dyDescent="0.2">
      <c r="A286" s="629"/>
    </row>
    <row r="287" spans="1:1" x14ac:dyDescent="0.2">
      <c r="A287" s="629"/>
    </row>
    <row r="288" spans="1:1" x14ac:dyDescent="0.2">
      <c r="A288" s="629"/>
    </row>
    <row r="289" spans="1:1" x14ac:dyDescent="0.2">
      <c r="A289" s="629"/>
    </row>
    <row r="290" spans="1:1" x14ac:dyDescent="0.2">
      <c r="A290" s="629"/>
    </row>
    <row r="291" spans="1:1" x14ac:dyDescent="0.2">
      <c r="A291" s="629"/>
    </row>
    <row r="292" spans="1:1" x14ac:dyDescent="0.2">
      <c r="A292" s="629"/>
    </row>
    <row r="293" spans="1:1" x14ac:dyDescent="0.2">
      <c r="A293" s="629"/>
    </row>
    <row r="294" spans="1:1" x14ac:dyDescent="0.2">
      <c r="A294" s="629"/>
    </row>
    <row r="295" spans="1:1" x14ac:dyDescent="0.2">
      <c r="A295" s="629"/>
    </row>
    <row r="296" spans="1:1" x14ac:dyDescent="0.2">
      <c r="A296" s="629"/>
    </row>
    <row r="297" spans="1:1" x14ac:dyDescent="0.2">
      <c r="A297" s="629"/>
    </row>
    <row r="298" spans="1:1" x14ac:dyDescent="0.2">
      <c r="A298" s="629"/>
    </row>
    <row r="299" spans="1:1" x14ac:dyDescent="0.2">
      <c r="A299" s="629"/>
    </row>
    <row r="300" spans="1:1" x14ac:dyDescent="0.2">
      <c r="A300" s="629"/>
    </row>
    <row r="301" spans="1:1" x14ac:dyDescent="0.2">
      <c r="A301" s="629"/>
    </row>
    <row r="302" spans="1:1" x14ac:dyDescent="0.2">
      <c r="A302" s="629"/>
    </row>
    <row r="303" spans="1:1" x14ac:dyDescent="0.2">
      <c r="A303" s="629"/>
    </row>
    <row r="304" spans="1:1" x14ac:dyDescent="0.2">
      <c r="A304" s="629"/>
    </row>
    <row r="305" spans="1:1" x14ac:dyDescent="0.2">
      <c r="A305" s="629"/>
    </row>
    <row r="306" spans="1:1" x14ac:dyDescent="0.2">
      <c r="A306" s="629"/>
    </row>
    <row r="307" spans="1:1" x14ac:dyDescent="0.2">
      <c r="A307" s="629"/>
    </row>
    <row r="308" spans="1:1" x14ac:dyDescent="0.2">
      <c r="A308" s="629"/>
    </row>
    <row r="309" spans="1:1" x14ac:dyDescent="0.2">
      <c r="A309" s="629"/>
    </row>
    <row r="310" spans="1:1" x14ac:dyDescent="0.2">
      <c r="A310" s="629"/>
    </row>
    <row r="311" spans="1:1" x14ac:dyDescent="0.2">
      <c r="A311" s="629"/>
    </row>
    <row r="312" spans="1:1" x14ac:dyDescent="0.2">
      <c r="A312" s="629"/>
    </row>
    <row r="313" spans="1:1" x14ac:dyDescent="0.2">
      <c r="A313" s="629"/>
    </row>
    <row r="314" spans="1:1" x14ac:dyDescent="0.2">
      <c r="A314" s="629"/>
    </row>
    <row r="315" spans="1:1" x14ac:dyDescent="0.2">
      <c r="A315" s="629"/>
    </row>
    <row r="316" spans="1:1" x14ac:dyDescent="0.2">
      <c r="A316" s="629"/>
    </row>
    <row r="317" spans="1:1" x14ac:dyDescent="0.2">
      <c r="A317" s="629"/>
    </row>
    <row r="318" spans="1:1" x14ac:dyDescent="0.2">
      <c r="A318" s="629"/>
    </row>
    <row r="319" spans="1:1" x14ac:dyDescent="0.2">
      <c r="A319" s="629"/>
    </row>
    <row r="320" spans="1:1" x14ac:dyDescent="0.2">
      <c r="A320" s="629"/>
    </row>
    <row r="321" spans="1:1" x14ac:dyDescent="0.2">
      <c r="A321" s="629"/>
    </row>
    <row r="322" spans="1:1" x14ac:dyDescent="0.2">
      <c r="A322" s="629"/>
    </row>
    <row r="323" spans="1:1" x14ac:dyDescent="0.2">
      <c r="A323" s="629"/>
    </row>
    <row r="324" spans="1:1" x14ac:dyDescent="0.2">
      <c r="A324" s="629"/>
    </row>
    <row r="325" spans="1:1" x14ac:dyDescent="0.2">
      <c r="A325" s="629"/>
    </row>
    <row r="326" spans="1:1" x14ac:dyDescent="0.2">
      <c r="A326" s="629"/>
    </row>
    <row r="327" spans="1:1" x14ac:dyDescent="0.2">
      <c r="A327" s="629"/>
    </row>
    <row r="328" spans="1:1" x14ac:dyDescent="0.2">
      <c r="A328" s="629"/>
    </row>
    <row r="329" spans="1:1" x14ac:dyDescent="0.2">
      <c r="A329" s="629"/>
    </row>
    <row r="330" spans="1:1" x14ac:dyDescent="0.2">
      <c r="A330" s="629"/>
    </row>
    <row r="331" spans="1:1" x14ac:dyDescent="0.2">
      <c r="A331" s="629"/>
    </row>
    <row r="332" spans="1:1" x14ac:dyDescent="0.2">
      <c r="A332" s="629"/>
    </row>
    <row r="333" spans="1:1" x14ac:dyDescent="0.2">
      <c r="A333" s="629"/>
    </row>
    <row r="334" spans="1:1" x14ac:dyDescent="0.2">
      <c r="A334" s="629"/>
    </row>
    <row r="335" spans="1:1" x14ac:dyDescent="0.2">
      <c r="A335" s="629"/>
    </row>
    <row r="336" spans="1:1" x14ac:dyDescent="0.2">
      <c r="A336" s="629"/>
    </row>
    <row r="337" spans="1:1" x14ac:dyDescent="0.2">
      <c r="A337" s="629"/>
    </row>
    <row r="338" spans="1:1" x14ac:dyDescent="0.2">
      <c r="A338" s="629"/>
    </row>
    <row r="339" spans="1:1" x14ac:dyDescent="0.2">
      <c r="A339" s="629"/>
    </row>
    <row r="340" spans="1:1" x14ac:dyDescent="0.2">
      <c r="A340" s="629"/>
    </row>
    <row r="341" spans="1:1" x14ac:dyDescent="0.2">
      <c r="A341" s="629"/>
    </row>
    <row r="342" spans="1:1" x14ac:dyDescent="0.2">
      <c r="A342" s="629"/>
    </row>
    <row r="343" spans="1:1" x14ac:dyDescent="0.2">
      <c r="A343" s="629"/>
    </row>
    <row r="344" spans="1:1" x14ac:dyDescent="0.2">
      <c r="A344" s="629"/>
    </row>
    <row r="345" spans="1:1" x14ac:dyDescent="0.2">
      <c r="A345" s="629"/>
    </row>
    <row r="346" spans="1:1" x14ac:dyDescent="0.2">
      <c r="A346" s="629"/>
    </row>
    <row r="347" spans="1:1" x14ac:dyDescent="0.2">
      <c r="A347" s="629"/>
    </row>
    <row r="348" spans="1:1" x14ac:dyDescent="0.2">
      <c r="A348" s="629"/>
    </row>
    <row r="349" spans="1:1" x14ac:dyDescent="0.2">
      <c r="A349" s="629"/>
    </row>
    <row r="350" spans="1:1" x14ac:dyDescent="0.2">
      <c r="A350" s="629"/>
    </row>
    <row r="351" spans="1:1" x14ac:dyDescent="0.2">
      <c r="A351" s="629"/>
    </row>
    <row r="352" spans="1:1" x14ac:dyDescent="0.2">
      <c r="A352" s="629"/>
    </row>
    <row r="353" spans="1:1" x14ac:dyDescent="0.2">
      <c r="A353" s="629"/>
    </row>
    <row r="354" spans="1:1" x14ac:dyDescent="0.2">
      <c r="A354" s="629"/>
    </row>
    <row r="355" spans="1:1" x14ac:dyDescent="0.2">
      <c r="A355" s="629"/>
    </row>
    <row r="356" spans="1:1" x14ac:dyDescent="0.2">
      <c r="A356" s="629"/>
    </row>
    <row r="357" spans="1:1" x14ac:dyDescent="0.2">
      <c r="A357" s="629"/>
    </row>
    <row r="358" spans="1:1" x14ac:dyDescent="0.2">
      <c r="A358" s="629"/>
    </row>
    <row r="359" spans="1:1" x14ac:dyDescent="0.2">
      <c r="A359" s="629"/>
    </row>
    <row r="360" spans="1:1" x14ac:dyDescent="0.2">
      <c r="A360" s="629"/>
    </row>
    <row r="361" spans="1:1" x14ac:dyDescent="0.2">
      <c r="A361" s="629"/>
    </row>
    <row r="362" spans="1:1" x14ac:dyDescent="0.2">
      <c r="A362" s="629"/>
    </row>
    <row r="363" spans="1:1" x14ac:dyDescent="0.2">
      <c r="A363" s="629"/>
    </row>
    <row r="364" spans="1:1" x14ac:dyDescent="0.2">
      <c r="A364" s="629"/>
    </row>
    <row r="365" spans="1:1" x14ac:dyDescent="0.2">
      <c r="A365" s="629"/>
    </row>
    <row r="366" spans="1:1" x14ac:dyDescent="0.2">
      <c r="A366" s="629"/>
    </row>
    <row r="367" spans="1:1" x14ac:dyDescent="0.2">
      <c r="A367" s="629"/>
    </row>
    <row r="368" spans="1:1" x14ac:dyDescent="0.2">
      <c r="A368" s="629"/>
    </row>
    <row r="369" spans="1:1" x14ac:dyDescent="0.2">
      <c r="A369" s="629"/>
    </row>
    <row r="370" spans="1:1" x14ac:dyDescent="0.2">
      <c r="A370" s="629"/>
    </row>
    <row r="371" spans="1:1" x14ac:dyDescent="0.2">
      <c r="A371" s="629"/>
    </row>
    <row r="372" spans="1:1" x14ac:dyDescent="0.2">
      <c r="A372" s="629"/>
    </row>
    <row r="373" spans="1:1" x14ac:dyDescent="0.2">
      <c r="A373" s="629"/>
    </row>
    <row r="374" spans="1:1" x14ac:dyDescent="0.2">
      <c r="A374" s="629"/>
    </row>
    <row r="375" spans="1:1" x14ac:dyDescent="0.2">
      <c r="A375" s="629"/>
    </row>
    <row r="376" spans="1:1" x14ac:dyDescent="0.2">
      <c r="A376" s="629"/>
    </row>
    <row r="377" spans="1:1" x14ac:dyDescent="0.2">
      <c r="A377" s="629"/>
    </row>
    <row r="378" spans="1:1" x14ac:dyDescent="0.2">
      <c r="A378" s="629"/>
    </row>
    <row r="379" spans="1:1" x14ac:dyDescent="0.2">
      <c r="A379" s="629"/>
    </row>
    <row r="380" spans="1:1" x14ac:dyDescent="0.2">
      <c r="A380" s="629"/>
    </row>
    <row r="381" spans="1:1" x14ac:dyDescent="0.2">
      <c r="A381" s="629"/>
    </row>
    <row r="382" spans="1:1" x14ac:dyDescent="0.2">
      <c r="A382" s="629"/>
    </row>
    <row r="383" spans="1:1" x14ac:dyDescent="0.2">
      <c r="A383" s="629"/>
    </row>
    <row r="384" spans="1:1" x14ac:dyDescent="0.2">
      <c r="A384" s="629"/>
    </row>
    <row r="385" spans="1:1" x14ac:dyDescent="0.2">
      <c r="A385" s="629"/>
    </row>
    <row r="386" spans="1:1" x14ac:dyDescent="0.2">
      <c r="A386" s="629"/>
    </row>
    <row r="387" spans="1:1" x14ac:dyDescent="0.2">
      <c r="A387" s="629"/>
    </row>
    <row r="388" spans="1:1" x14ac:dyDescent="0.2">
      <c r="A388" s="629"/>
    </row>
    <row r="389" spans="1:1" x14ac:dyDescent="0.2">
      <c r="A389" s="629"/>
    </row>
    <row r="390" spans="1:1" x14ac:dyDescent="0.2">
      <c r="A390" s="629"/>
    </row>
    <row r="391" spans="1:1" x14ac:dyDescent="0.2">
      <c r="A391" s="629"/>
    </row>
    <row r="392" spans="1:1" x14ac:dyDescent="0.2">
      <c r="A392" s="629"/>
    </row>
    <row r="393" spans="1:1" x14ac:dyDescent="0.2">
      <c r="A393" s="629"/>
    </row>
    <row r="394" spans="1:1" x14ac:dyDescent="0.2">
      <c r="A394" s="629"/>
    </row>
    <row r="395" spans="1:1" x14ac:dyDescent="0.2">
      <c r="A395" s="629"/>
    </row>
    <row r="396" spans="1:1" x14ac:dyDescent="0.2">
      <c r="A396" s="629"/>
    </row>
    <row r="397" spans="1:1" x14ac:dyDescent="0.2">
      <c r="A397" s="629"/>
    </row>
    <row r="398" spans="1:1" x14ac:dyDescent="0.2">
      <c r="A398" s="629"/>
    </row>
    <row r="399" spans="1:1" x14ac:dyDescent="0.2">
      <c r="A399" s="629"/>
    </row>
    <row r="400" spans="1:1" x14ac:dyDescent="0.2">
      <c r="A400" s="629"/>
    </row>
    <row r="401" spans="1:1" x14ac:dyDescent="0.2">
      <c r="A401" s="629"/>
    </row>
    <row r="402" spans="1:1" x14ac:dyDescent="0.2">
      <c r="A402" s="629"/>
    </row>
    <row r="403" spans="1:1" x14ac:dyDescent="0.2">
      <c r="A403" s="629"/>
    </row>
    <row r="404" spans="1:1" x14ac:dyDescent="0.2">
      <c r="A404" s="629"/>
    </row>
    <row r="405" spans="1:1" x14ac:dyDescent="0.2">
      <c r="A405" s="629"/>
    </row>
    <row r="406" spans="1:1" x14ac:dyDescent="0.2">
      <c r="A406" s="629"/>
    </row>
    <row r="407" spans="1:1" x14ac:dyDescent="0.2">
      <c r="A407" s="629"/>
    </row>
    <row r="408" spans="1:1" x14ac:dyDescent="0.2">
      <c r="A408" s="629"/>
    </row>
    <row r="409" spans="1:1" x14ac:dyDescent="0.2">
      <c r="A409" s="629"/>
    </row>
    <row r="410" spans="1:1" x14ac:dyDescent="0.2">
      <c r="A410" s="629"/>
    </row>
    <row r="411" spans="1:1" x14ac:dyDescent="0.2">
      <c r="A411" s="629"/>
    </row>
    <row r="412" spans="1:1" x14ac:dyDescent="0.2">
      <c r="A412" s="629"/>
    </row>
    <row r="413" spans="1:1" x14ac:dyDescent="0.2">
      <c r="A413" s="629"/>
    </row>
    <row r="414" spans="1:1" x14ac:dyDescent="0.2">
      <c r="A414" s="629"/>
    </row>
    <row r="415" spans="1:1" x14ac:dyDescent="0.2">
      <c r="A415" s="629"/>
    </row>
    <row r="416" spans="1:1" x14ac:dyDescent="0.2">
      <c r="A416" s="629"/>
    </row>
    <row r="417" spans="1:1" x14ac:dyDescent="0.2">
      <c r="A417" s="629"/>
    </row>
    <row r="418" spans="1:1" x14ac:dyDescent="0.2">
      <c r="A418" s="629"/>
    </row>
    <row r="419" spans="1:1" x14ac:dyDescent="0.2">
      <c r="A419" s="629"/>
    </row>
    <row r="420" spans="1:1" x14ac:dyDescent="0.2">
      <c r="A420" s="629"/>
    </row>
    <row r="421" spans="1:1" x14ac:dyDescent="0.2">
      <c r="A421" s="629"/>
    </row>
    <row r="422" spans="1:1" x14ac:dyDescent="0.2">
      <c r="A422" s="629"/>
    </row>
    <row r="423" spans="1:1" x14ac:dyDescent="0.2">
      <c r="A423" s="629"/>
    </row>
    <row r="424" spans="1:1" x14ac:dyDescent="0.2">
      <c r="A424" s="629"/>
    </row>
    <row r="425" spans="1:1" x14ac:dyDescent="0.2">
      <c r="A425" s="629"/>
    </row>
    <row r="426" spans="1:1" x14ac:dyDescent="0.2">
      <c r="A426" s="629"/>
    </row>
    <row r="427" spans="1:1" x14ac:dyDescent="0.2">
      <c r="A427" s="629"/>
    </row>
    <row r="428" spans="1:1" x14ac:dyDescent="0.2">
      <c r="A428" s="629"/>
    </row>
    <row r="429" spans="1:1" x14ac:dyDescent="0.2">
      <c r="A429" s="629"/>
    </row>
    <row r="430" spans="1:1" x14ac:dyDescent="0.2">
      <c r="A430" s="629"/>
    </row>
    <row r="431" spans="1:1" x14ac:dyDescent="0.2">
      <c r="A431" s="629"/>
    </row>
    <row r="432" spans="1:1" x14ac:dyDescent="0.2">
      <c r="A432" s="629"/>
    </row>
    <row r="433" spans="1:1" x14ac:dyDescent="0.2">
      <c r="A433" s="629"/>
    </row>
    <row r="434" spans="1:1" x14ac:dyDescent="0.2">
      <c r="A434" s="629"/>
    </row>
    <row r="435" spans="1:1" x14ac:dyDescent="0.2">
      <c r="A435" s="629"/>
    </row>
    <row r="436" spans="1:1" x14ac:dyDescent="0.2">
      <c r="A436" s="629"/>
    </row>
    <row r="437" spans="1:1" x14ac:dyDescent="0.2">
      <c r="A437" s="629"/>
    </row>
    <row r="438" spans="1:1" x14ac:dyDescent="0.2">
      <c r="A438" s="629"/>
    </row>
    <row r="439" spans="1:1" x14ac:dyDescent="0.2">
      <c r="A439" s="629"/>
    </row>
    <row r="440" spans="1:1" x14ac:dyDescent="0.2">
      <c r="A440" s="629"/>
    </row>
    <row r="441" spans="1:1" x14ac:dyDescent="0.2">
      <c r="A441" s="629"/>
    </row>
    <row r="442" spans="1:1" x14ac:dyDescent="0.2">
      <c r="A442" s="629"/>
    </row>
    <row r="443" spans="1:1" x14ac:dyDescent="0.2">
      <c r="A443" s="629"/>
    </row>
    <row r="444" spans="1:1" x14ac:dyDescent="0.2">
      <c r="A444" s="629"/>
    </row>
    <row r="445" spans="1:1" x14ac:dyDescent="0.2">
      <c r="A445" s="629"/>
    </row>
    <row r="446" spans="1:1" x14ac:dyDescent="0.2">
      <c r="A446" s="629"/>
    </row>
    <row r="447" spans="1:1" x14ac:dyDescent="0.2">
      <c r="A447" s="629"/>
    </row>
    <row r="448" spans="1:1" x14ac:dyDescent="0.2">
      <c r="A448" s="629"/>
    </row>
    <row r="449" spans="1:1" x14ac:dyDescent="0.2">
      <c r="A449" s="629"/>
    </row>
    <row r="450" spans="1:1" x14ac:dyDescent="0.2">
      <c r="A450" s="629"/>
    </row>
    <row r="451" spans="1:1" x14ac:dyDescent="0.2">
      <c r="A451" s="629"/>
    </row>
    <row r="452" spans="1:1" x14ac:dyDescent="0.2">
      <c r="A452" s="629"/>
    </row>
    <row r="453" spans="1:1" x14ac:dyDescent="0.2">
      <c r="A453" s="629"/>
    </row>
    <row r="454" spans="1:1" x14ac:dyDescent="0.2">
      <c r="A454" s="629"/>
    </row>
    <row r="455" spans="1:1" x14ac:dyDescent="0.2">
      <c r="A455" s="629"/>
    </row>
    <row r="456" spans="1:1" x14ac:dyDescent="0.2">
      <c r="A456" s="629"/>
    </row>
    <row r="457" spans="1:1" x14ac:dyDescent="0.2">
      <c r="A457" s="629"/>
    </row>
    <row r="458" spans="1:1" x14ac:dyDescent="0.2">
      <c r="A458" s="629"/>
    </row>
    <row r="459" spans="1:1" x14ac:dyDescent="0.2">
      <c r="A459" s="629"/>
    </row>
    <row r="460" spans="1:1" x14ac:dyDescent="0.2">
      <c r="A460" s="629"/>
    </row>
    <row r="461" spans="1:1" x14ac:dyDescent="0.2">
      <c r="A461" s="629"/>
    </row>
    <row r="462" spans="1:1" x14ac:dyDescent="0.2">
      <c r="A462" s="629"/>
    </row>
    <row r="463" spans="1:1" x14ac:dyDescent="0.2">
      <c r="A463" s="629"/>
    </row>
    <row r="464" spans="1:1" x14ac:dyDescent="0.2">
      <c r="A464" s="629"/>
    </row>
    <row r="465" spans="1:1" x14ac:dyDescent="0.2">
      <c r="A465" s="629"/>
    </row>
    <row r="466" spans="1:1" x14ac:dyDescent="0.2">
      <c r="A466" s="629"/>
    </row>
    <row r="467" spans="1:1" x14ac:dyDescent="0.2">
      <c r="A467" s="629"/>
    </row>
    <row r="468" spans="1:1" x14ac:dyDescent="0.2">
      <c r="A468" s="629"/>
    </row>
    <row r="469" spans="1:1" x14ac:dyDescent="0.2">
      <c r="A469" s="629"/>
    </row>
    <row r="470" spans="1:1" x14ac:dyDescent="0.2">
      <c r="A470" s="629"/>
    </row>
    <row r="471" spans="1:1" x14ac:dyDescent="0.2">
      <c r="A471" s="629"/>
    </row>
    <row r="472" spans="1:1" x14ac:dyDescent="0.2">
      <c r="A472" s="629"/>
    </row>
    <row r="473" spans="1:1" x14ac:dyDescent="0.2">
      <c r="A473" s="629"/>
    </row>
    <row r="474" spans="1:1" x14ac:dyDescent="0.2">
      <c r="A474" s="629"/>
    </row>
    <row r="475" spans="1:1" x14ac:dyDescent="0.2">
      <c r="A475" s="629"/>
    </row>
    <row r="476" spans="1:1" x14ac:dyDescent="0.2">
      <c r="A476" s="629"/>
    </row>
    <row r="477" spans="1:1" x14ac:dyDescent="0.2">
      <c r="A477" s="629"/>
    </row>
    <row r="478" spans="1:1" x14ac:dyDescent="0.2">
      <c r="A478" s="629"/>
    </row>
    <row r="479" spans="1:1" x14ac:dyDescent="0.2">
      <c r="A479" s="629"/>
    </row>
    <row r="480" spans="1:1" x14ac:dyDescent="0.2">
      <c r="A480" s="629"/>
    </row>
    <row r="481" spans="1:1" x14ac:dyDescent="0.2">
      <c r="A481" s="629"/>
    </row>
    <row r="482" spans="1:1" x14ac:dyDescent="0.2">
      <c r="A482" s="629"/>
    </row>
    <row r="483" spans="1:1" x14ac:dyDescent="0.2">
      <c r="A483" s="629"/>
    </row>
    <row r="484" spans="1:1" x14ac:dyDescent="0.2">
      <c r="A484" s="629"/>
    </row>
    <row r="485" spans="1:1" x14ac:dyDescent="0.2">
      <c r="A485" s="629"/>
    </row>
    <row r="486" spans="1:1" x14ac:dyDescent="0.2">
      <c r="A486" s="629"/>
    </row>
    <row r="487" spans="1:1" x14ac:dyDescent="0.2">
      <c r="A487" s="629"/>
    </row>
    <row r="488" spans="1:1" x14ac:dyDescent="0.2">
      <c r="A488" s="629"/>
    </row>
    <row r="489" spans="1:1" x14ac:dyDescent="0.2">
      <c r="A489" s="629"/>
    </row>
    <row r="490" spans="1:1" x14ac:dyDescent="0.2">
      <c r="A490" s="629"/>
    </row>
    <row r="491" spans="1:1" x14ac:dyDescent="0.2">
      <c r="A491" s="629"/>
    </row>
    <row r="492" spans="1:1" x14ac:dyDescent="0.2">
      <c r="A492" s="629"/>
    </row>
    <row r="493" spans="1:1" x14ac:dyDescent="0.2">
      <c r="A493" s="629"/>
    </row>
    <row r="494" spans="1:1" x14ac:dyDescent="0.2">
      <c r="A494" s="629"/>
    </row>
    <row r="495" spans="1:1" x14ac:dyDescent="0.2">
      <c r="A495" s="629"/>
    </row>
    <row r="496" spans="1:1" x14ac:dyDescent="0.2">
      <c r="A496" s="629"/>
    </row>
    <row r="497" spans="1:1" x14ac:dyDescent="0.2">
      <c r="A497" s="629"/>
    </row>
    <row r="498" spans="1:1" x14ac:dyDescent="0.2">
      <c r="A498" s="629"/>
    </row>
    <row r="499" spans="1:1" x14ac:dyDescent="0.2">
      <c r="A499" s="629"/>
    </row>
    <row r="500" spans="1:1" x14ac:dyDescent="0.2">
      <c r="A500" s="629"/>
    </row>
    <row r="501" spans="1:1" x14ac:dyDescent="0.2">
      <c r="A501" s="629"/>
    </row>
    <row r="502" spans="1:1" x14ac:dyDescent="0.2">
      <c r="A502" s="629"/>
    </row>
    <row r="503" spans="1:1" x14ac:dyDescent="0.2">
      <c r="A503" s="629"/>
    </row>
    <row r="504" spans="1:1" x14ac:dyDescent="0.2">
      <c r="A504" s="629"/>
    </row>
    <row r="505" spans="1:1" x14ac:dyDescent="0.2">
      <c r="A505" s="629"/>
    </row>
    <row r="506" spans="1:1" x14ac:dyDescent="0.2">
      <c r="A506" s="629"/>
    </row>
    <row r="507" spans="1:1" x14ac:dyDescent="0.2">
      <c r="A507" s="629"/>
    </row>
    <row r="508" spans="1:1" x14ac:dyDescent="0.2">
      <c r="A508" s="629"/>
    </row>
    <row r="509" spans="1:1" x14ac:dyDescent="0.2">
      <c r="A509" s="629"/>
    </row>
    <row r="510" spans="1:1" x14ac:dyDescent="0.2">
      <c r="A510" s="629"/>
    </row>
    <row r="511" spans="1:1" x14ac:dyDescent="0.2">
      <c r="A511" s="629"/>
    </row>
    <row r="512" spans="1:1" x14ac:dyDescent="0.2">
      <c r="A512" s="629"/>
    </row>
    <row r="513" spans="1:1" x14ac:dyDescent="0.2">
      <c r="A513" s="629"/>
    </row>
    <row r="514" spans="1:1" x14ac:dyDescent="0.2">
      <c r="A514" s="629"/>
    </row>
    <row r="515" spans="1:1" x14ac:dyDescent="0.2">
      <c r="A515" s="629"/>
    </row>
    <row r="516" spans="1:1" x14ac:dyDescent="0.2">
      <c r="A516" s="629"/>
    </row>
    <row r="517" spans="1:1" x14ac:dyDescent="0.2">
      <c r="A517" s="629"/>
    </row>
    <row r="518" spans="1:1" x14ac:dyDescent="0.2">
      <c r="A518" s="629"/>
    </row>
    <row r="519" spans="1:1" x14ac:dyDescent="0.2">
      <c r="A519" s="629"/>
    </row>
    <row r="520" spans="1:1" x14ac:dyDescent="0.2">
      <c r="A520" s="629"/>
    </row>
    <row r="521" spans="1:1" x14ac:dyDescent="0.2">
      <c r="A521" s="629"/>
    </row>
    <row r="522" spans="1:1" x14ac:dyDescent="0.2">
      <c r="A522" s="629"/>
    </row>
    <row r="523" spans="1:1" x14ac:dyDescent="0.2">
      <c r="A523" s="629"/>
    </row>
    <row r="524" spans="1:1" x14ac:dyDescent="0.2">
      <c r="A524" s="629"/>
    </row>
    <row r="525" spans="1:1" x14ac:dyDescent="0.2">
      <c r="A525" s="629"/>
    </row>
    <row r="526" spans="1:1" x14ac:dyDescent="0.2">
      <c r="A526" s="629"/>
    </row>
    <row r="527" spans="1:1" x14ac:dyDescent="0.2">
      <c r="A527" s="629"/>
    </row>
    <row r="528" spans="1:1" x14ac:dyDescent="0.2">
      <c r="A528" s="629"/>
    </row>
    <row r="529" spans="1:1" x14ac:dyDescent="0.2">
      <c r="A529" s="629"/>
    </row>
    <row r="530" spans="1:1" x14ac:dyDescent="0.2">
      <c r="A530" s="629"/>
    </row>
    <row r="531" spans="1:1" x14ac:dyDescent="0.2">
      <c r="A531" s="629"/>
    </row>
    <row r="532" spans="1:1" x14ac:dyDescent="0.2">
      <c r="A532" s="629"/>
    </row>
    <row r="533" spans="1:1" x14ac:dyDescent="0.2">
      <c r="A533" s="629"/>
    </row>
    <row r="534" spans="1:1" x14ac:dyDescent="0.2">
      <c r="A534" s="629"/>
    </row>
    <row r="535" spans="1:1" x14ac:dyDescent="0.2">
      <c r="A535" s="629"/>
    </row>
    <row r="536" spans="1:1" x14ac:dyDescent="0.2">
      <c r="A536" s="629"/>
    </row>
    <row r="537" spans="1:1" x14ac:dyDescent="0.2">
      <c r="A537" s="629"/>
    </row>
    <row r="538" spans="1:1" x14ac:dyDescent="0.2">
      <c r="A538" s="629"/>
    </row>
    <row r="539" spans="1:1" x14ac:dyDescent="0.2">
      <c r="A539" s="629"/>
    </row>
    <row r="540" spans="1:1" x14ac:dyDescent="0.2">
      <c r="A540" s="629"/>
    </row>
    <row r="541" spans="1:1" x14ac:dyDescent="0.2">
      <c r="A541" s="629"/>
    </row>
    <row r="542" spans="1:1" x14ac:dyDescent="0.2">
      <c r="A542" s="629"/>
    </row>
    <row r="543" spans="1:1" x14ac:dyDescent="0.2">
      <c r="A543" s="629"/>
    </row>
    <row r="544" spans="1:1" x14ac:dyDescent="0.2">
      <c r="A544" s="629"/>
    </row>
    <row r="545" spans="1:1" x14ac:dyDescent="0.2">
      <c r="A545" s="629"/>
    </row>
    <row r="546" spans="1:1" x14ac:dyDescent="0.2">
      <c r="A546" s="629"/>
    </row>
    <row r="547" spans="1:1" x14ac:dyDescent="0.2">
      <c r="A547" s="629"/>
    </row>
    <row r="548" spans="1:1" x14ac:dyDescent="0.2">
      <c r="A548" s="629"/>
    </row>
    <row r="549" spans="1:1" x14ac:dyDescent="0.2">
      <c r="A549" s="629"/>
    </row>
    <row r="550" spans="1:1" x14ac:dyDescent="0.2">
      <c r="A550" s="629"/>
    </row>
    <row r="551" spans="1:1" x14ac:dyDescent="0.2">
      <c r="A551" s="629"/>
    </row>
    <row r="552" spans="1:1" x14ac:dyDescent="0.2">
      <c r="A552" s="629"/>
    </row>
    <row r="553" spans="1:1" x14ac:dyDescent="0.2">
      <c r="A553" s="629"/>
    </row>
    <row r="554" spans="1:1" x14ac:dyDescent="0.2">
      <c r="A554" s="629"/>
    </row>
    <row r="555" spans="1:1" x14ac:dyDescent="0.2">
      <c r="A555" s="629"/>
    </row>
    <row r="556" spans="1:1" x14ac:dyDescent="0.2">
      <c r="A556" s="629"/>
    </row>
    <row r="557" spans="1:1" x14ac:dyDescent="0.2">
      <c r="A557" s="629"/>
    </row>
    <row r="558" spans="1:1" x14ac:dyDescent="0.2">
      <c r="A558" s="629"/>
    </row>
    <row r="559" spans="1:1" x14ac:dyDescent="0.2">
      <c r="A559" s="629"/>
    </row>
    <row r="560" spans="1:1" x14ac:dyDescent="0.2">
      <c r="A560" s="629"/>
    </row>
    <row r="561" spans="1:1" x14ac:dyDescent="0.2">
      <c r="A561" s="629"/>
    </row>
    <row r="562" spans="1:1" x14ac:dyDescent="0.2">
      <c r="A562" s="629"/>
    </row>
    <row r="563" spans="1:1" x14ac:dyDescent="0.2">
      <c r="A563" s="629"/>
    </row>
    <row r="564" spans="1:1" x14ac:dyDescent="0.2">
      <c r="A564" s="629"/>
    </row>
    <row r="565" spans="1:1" x14ac:dyDescent="0.2">
      <c r="A565" s="629"/>
    </row>
    <row r="566" spans="1:1" x14ac:dyDescent="0.2">
      <c r="A566" s="629"/>
    </row>
    <row r="567" spans="1:1" x14ac:dyDescent="0.2">
      <c r="A567" s="629"/>
    </row>
    <row r="568" spans="1:1" x14ac:dyDescent="0.2">
      <c r="A568" s="629"/>
    </row>
    <row r="569" spans="1:1" x14ac:dyDescent="0.2">
      <c r="A569" s="629"/>
    </row>
    <row r="570" spans="1:1" x14ac:dyDescent="0.2">
      <c r="A570" s="629"/>
    </row>
    <row r="571" spans="1:1" x14ac:dyDescent="0.2">
      <c r="A571" s="629"/>
    </row>
    <row r="572" spans="1:1" x14ac:dyDescent="0.2">
      <c r="A572" s="629"/>
    </row>
    <row r="573" spans="1:1" x14ac:dyDescent="0.2">
      <c r="A573" s="629"/>
    </row>
    <row r="574" spans="1:1" x14ac:dyDescent="0.2">
      <c r="A574" s="629"/>
    </row>
  </sheetData>
  <mergeCells count="21">
    <mergeCell ref="E44:F44"/>
    <mergeCell ref="C44:D44"/>
    <mergeCell ref="F32:J32"/>
    <mergeCell ref="C58:H58"/>
    <mergeCell ref="B68:B70"/>
    <mergeCell ref="C68:C69"/>
    <mergeCell ref="D68:D70"/>
    <mergeCell ref="E68:E70"/>
    <mergeCell ref="F68:F70"/>
    <mergeCell ref="G68:G69"/>
    <mergeCell ref="H68:H69"/>
    <mergeCell ref="I68:I69"/>
    <mergeCell ref="J68:J69"/>
    <mergeCell ref="K68:K69"/>
    <mergeCell ref="M68:M70"/>
    <mergeCell ref="N68:N70"/>
    <mergeCell ref="O68:O69"/>
    <mergeCell ref="P68:T68"/>
    <mergeCell ref="P69:P70"/>
    <mergeCell ref="R69:R70"/>
    <mergeCell ref="S69:S70"/>
  </mergeCells>
  <conditionalFormatting sqref="J53">
    <cfRule type="cellIs" dxfId="157" priority="13" operator="notEqual">
      <formula>$H$54</formula>
    </cfRule>
    <cfRule type="cellIs" dxfId="156" priority="14" operator="equal">
      <formula>$H$54</formula>
    </cfRule>
  </conditionalFormatting>
  <conditionalFormatting sqref="J54">
    <cfRule type="cellIs" dxfId="155" priority="7" operator="notEqual">
      <formula>$H$54</formula>
    </cfRule>
    <cfRule type="cellIs" dxfId="154" priority="8" operator="equal">
      <formula>$H$54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170" r:id="rId3" name="CommandButton1">
          <controlPr defaultSize="0" autoLine="0" r:id="rId4">
            <anchor moveWithCells="1">
              <from>
                <xdr:col>1</xdr:col>
                <xdr:colOff>1038225</xdr:colOff>
                <xdr:row>0</xdr:row>
                <xdr:rowOff>66675</xdr:rowOff>
              </from>
              <to>
                <xdr:col>1</xdr:col>
                <xdr:colOff>2628900</xdr:colOff>
                <xdr:row>2</xdr:row>
                <xdr:rowOff>28575</xdr:rowOff>
              </to>
            </anchor>
          </controlPr>
        </control>
      </mc:Choice>
      <mc:Fallback>
        <control shapeId="7170" r:id="rId3" name="CommandButton1"/>
      </mc:Fallback>
    </mc:AlternateContent>
    <mc:AlternateContent xmlns:mc="http://schemas.openxmlformats.org/markup-compatibility/2006">
      <mc:Choice Requires="x14">
        <control shapeId="7171" r:id="rId5" name="fppXML">
          <controlPr defaultSize="0" autoLine="0" r:id="rId6">
            <anchor moveWithCells="1">
              <from>
                <xdr:col>6</xdr:col>
                <xdr:colOff>38100</xdr:colOff>
                <xdr:row>28</xdr:row>
                <xdr:rowOff>38100</xdr:rowOff>
              </from>
              <to>
                <xdr:col>7</xdr:col>
                <xdr:colOff>628650</xdr:colOff>
                <xdr:row>30</xdr:row>
                <xdr:rowOff>0</xdr:rowOff>
              </to>
            </anchor>
          </controlPr>
        </control>
      </mc:Choice>
      <mc:Fallback>
        <control shapeId="7171" r:id="rId5" name="fppXML"/>
      </mc:Fallback>
    </mc:AlternateContent>
    <mc:AlternateContent xmlns:mc="http://schemas.openxmlformats.org/markup-compatibility/2006">
      <mc:Choice Requires="x14">
        <control shapeId="7172" r:id="rId7" name="CommandButton2">
          <controlPr defaultSize="0" autoLine="0" r:id="rId8">
            <anchor moveWithCells="1">
              <from>
                <xdr:col>1</xdr:col>
                <xdr:colOff>2200275</xdr:colOff>
                <xdr:row>64</xdr:row>
                <xdr:rowOff>28575</xdr:rowOff>
              </from>
              <to>
                <xdr:col>2</xdr:col>
                <xdr:colOff>342900</xdr:colOff>
                <xdr:row>65</xdr:row>
                <xdr:rowOff>152400</xdr:rowOff>
              </to>
            </anchor>
          </controlPr>
        </control>
      </mc:Choice>
      <mc:Fallback>
        <control shapeId="7172" r:id="rId7" name="CommandButton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>
    <tabColor theme="7" tint="-0.249977111117893"/>
  </sheetPr>
  <dimension ref="B2:J23"/>
  <sheetViews>
    <sheetView showGridLines="0" workbookViewId="0">
      <selection activeCell="G35" sqref="G35"/>
    </sheetView>
  </sheetViews>
  <sheetFormatPr defaultColWidth="9.140625" defaultRowHeight="12.75" x14ac:dyDescent="0.2"/>
  <cols>
    <col min="1" max="1" width="0.5703125" style="2" customWidth="1"/>
    <col min="2" max="2" width="19.85546875" style="2" customWidth="1"/>
    <col min="3" max="3" width="20.28515625" style="2" customWidth="1"/>
    <col min="4" max="4" width="16.85546875" style="2" customWidth="1"/>
    <col min="5" max="5" width="12.42578125" style="2" bestFit="1" customWidth="1"/>
    <col min="6" max="6" width="21.42578125" style="2" customWidth="1"/>
    <col min="7" max="7" width="20.7109375" style="2" customWidth="1"/>
    <col min="8" max="8" width="27.7109375" style="2" bestFit="1" customWidth="1"/>
    <col min="9" max="9" width="24" style="2" customWidth="1"/>
    <col min="10" max="14" width="12.42578125" style="2" bestFit="1" customWidth="1"/>
    <col min="15" max="16384" width="9.140625" style="2"/>
  </cols>
  <sheetData>
    <row r="2" spans="2:10" x14ac:dyDescent="0.2">
      <c r="B2" s="1" t="s">
        <v>3235</v>
      </c>
      <c r="C2" s="1"/>
    </row>
    <row r="3" spans="2:10" x14ac:dyDescent="0.2">
      <c r="B3" s="42"/>
      <c r="C3" s="42" t="s">
        <v>405</v>
      </c>
      <c r="E3" s="784" t="s">
        <v>691</v>
      </c>
      <c r="F3" s="785"/>
      <c r="H3" s="784" t="s">
        <v>696</v>
      </c>
      <c r="I3" s="785"/>
    </row>
    <row r="4" spans="2:10" x14ac:dyDescent="0.2">
      <c r="B4" s="71"/>
      <c r="C4" s="71" t="s">
        <v>406</v>
      </c>
      <c r="E4" s="42" t="s">
        <v>692</v>
      </c>
      <c r="F4" s="276">
        <v>0.01</v>
      </c>
      <c r="H4" s="42" t="s">
        <v>682</v>
      </c>
      <c r="I4" s="278">
        <v>0.1</v>
      </c>
    </row>
    <row r="5" spans="2:10" x14ac:dyDescent="0.2">
      <c r="B5" s="43" t="s">
        <v>407</v>
      </c>
      <c r="C5" s="240">
        <f>MAX('DADOS-Mercado'!$C$10:$N$10)</f>
        <v>14630.603999999999</v>
      </c>
      <c r="E5" s="42" t="s">
        <v>693</v>
      </c>
      <c r="F5" s="277">
        <v>4.0000000000000001E-3</v>
      </c>
      <c r="H5" s="42" t="s">
        <v>683</v>
      </c>
      <c r="I5" s="278">
        <v>0.9</v>
      </c>
    </row>
    <row r="6" spans="2:10" x14ac:dyDescent="0.2">
      <c r="B6" s="43"/>
      <c r="C6" s="240"/>
      <c r="E6" s="42" t="s">
        <v>739</v>
      </c>
      <c r="F6" s="277">
        <v>2.3400000000000001E-2</v>
      </c>
    </row>
    <row r="7" spans="2:10" x14ac:dyDescent="0.2">
      <c r="B7" s="43" t="s">
        <v>7</v>
      </c>
      <c r="C7" s="74">
        <f>IF('DADOS-Mercado'!C12&gt;0,HLOOKUP($C$5,'DADOS-Mercado'!$C$10:$N$17,3,FALSE)/AVERAGE('DADOS-Mercado'!C12:N12),0)</f>
        <v>0</v>
      </c>
      <c r="D7" s="73"/>
    </row>
    <row r="8" spans="2:10" x14ac:dyDescent="0.2">
      <c r="B8" s="43" t="s">
        <v>8</v>
      </c>
      <c r="C8" s="74">
        <f>IF('DADOS-Mercado'!C13&gt;0,HLOOKUP($C$5,'DADOS-Mercado'!$C$10:$N$17,4,FALSE)/AVERAGE('DADOS-Mercado'!C13:N13),0)</f>
        <v>0</v>
      </c>
    </row>
    <row r="9" spans="2:10" x14ac:dyDescent="0.2">
      <c r="B9" s="43" t="s">
        <v>6</v>
      </c>
      <c r="C9" s="74">
        <f>IF('DADOS-Mercado'!C17&gt;0,HLOOKUP($C$5,'DADOS-Mercado'!$C$10:$N$17,8,FALSE)/AVERAGE('DADOS-Mercado'!C17:N17),0)</f>
        <v>1.0409749765872824</v>
      </c>
      <c r="E9" s="1" t="s">
        <v>3236</v>
      </c>
    </row>
    <row r="10" spans="2:10" x14ac:dyDescent="0.2">
      <c r="B10" s="43" t="s">
        <v>20</v>
      </c>
      <c r="C10" s="74">
        <f>IF('DADOS-Mercado'!C16&gt;0,HLOOKUP($C$5,'DADOS-Mercado'!$C$10:$N$17,7,FALSE)/AVERAGE('DADOS-Mercado'!C16:N16),0)</f>
        <v>1.2568456463764748</v>
      </c>
      <c r="E10" s="42"/>
      <c r="F10" s="42" t="s">
        <v>3238</v>
      </c>
      <c r="G10" s="42" t="s">
        <v>3239</v>
      </c>
      <c r="H10" s="42" t="s">
        <v>3240</v>
      </c>
      <c r="I10" s="373" t="s">
        <v>3237</v>
      </c>
    </row>
    <row r="11" spans="2:10" x14ac:dyDescent="0.2">
      <c r="E11" s="253" t="s">
        <v>156</v>
      </c>
      <c r="F11" s="266">
        <f>'DADOS-Mercado'!Q40</f>
        <v>0</v>
      </c>
      <c r="G11" s="266">
        <f>SUM('DADOS-Mercado'!C26:N26)</f>
        <v>0</v>
      </c>
      <c r="H11" s="267">
        <f>F11-G11</f>
        <v>0</v>
      </c>
      <c r="I11" s="279">
        <v>1</v>
      </c>
      <c r="J11" s="2" t="s">
        <v>697</v>
      </c>
    </row>
    <row r="12" spans="2:10" x14ac:dyDescent="0.2">
      <c r="B12" s="1" t="s">
        <v>3245</v>
      </c>
      <c r="E12" s="253" t="s">
        <v>157</v>
      </c>
      <c r="F12" s="266">
        <f>'DADOS-Mercado'!Q41</f>
        <v>0</v>
      </c>
      <c r="G12" s="266">
        <f>SUM('DADOS-Mercado'!C27:N27)</f>
        <v>0</v>
      </c>
      <c r="H12" s="267">
        <f t="shared" ref="H12:H14" si="0">F12-G12</f>
        <v>0</v>
      </c>
      <c r="I12" s="279">
        <v>1</v>
      </c>
      <c r="J12" s="2" t="s">
        <v>697</v>
      </c>
    </row>
    <row r="13" spans="2:10" x14ac:dyDescent="0.2">
      <c r="B13" s="374" t="s">
        <v>508</v>
      </c>
      <c r="C13" s="519">
        <v>0.92</v>
      </c>
      <c r="E13" s="253" t="s">
        <v>6</v>
      </c>
      <c r="F13" s="266">
        <f>'DADOS-Mercado'!Q42+'DADOS-Mercado'!Q43</f>
        <v>34457.14499999999</v>
      </c>
      <c r="G13" s="266">
        <f>SUM('DADOS-Mercado'!C28:N29)</f>
        <v>13411.733739450052</v>
      </c>
      <c r="H13" s="267">
        <f t="shared" si="0"/>
        <v>21045.411260549939</v>
      </c>
      <c r="I13" s="268">
        <f>(F13+H13)/(F13+G13+H13)</f>
        <v>0.80538530195333868</v>
      </c>
    </row>
    <row r="14" spans="2:10" x14ac:dyDescent="0.2">
      <c r="B14" s="71"/>
      <c r="C14" s="71" t="s">
        <v>509</v>
      </c>
      <c r="E14" s="253" t="s">
        <v>20</v>
      </c>
      <c r="F14" s="266">
        <f>SUM('DADOS-Mercado'!Q44:Q50)</f>
        <v>111658.12500000003</v>
      </c>
      <c r="G14" s="266">
        <f>SUM('DADOS-Mercado'!C30:N30)</f>
        <v>3033.5880000000002</v>
      </c>
      <c r="H14" s="267">
        <f t="shared" si="0"/>
        <v>108624.53700000003</v>
      </c>
      <c r="I14" s="268">
        <f>(F14+H14)/(F14+G14+H14)</f>
        <v>0.98641573105405456</v>
      </c>
    </row>
    <row r="15" spans="2:10" x14ac:dyDescent="0.2">
      <c r="B15" s="28" t="s">
        <v>51</v>
      </c>
      <c r="C15" s="241" t="str">
        <f>IFERROR('DADOS-Campanha'!J35/$C$13/'DADOS-Ativos e Custos'!L9,"")</f>
        <v/>
      </c>
    </row>
    <row r="16" spans="2:10" x14ac:dyDescent="0.2">
      <c r="B16" s="28" t="s">
        <v>50</v>
      </c>
      <c r="C16" s="241" t="str">
        <f>IFERROR('DADOS-Campanha'!M35/$C$13/'DADOS-Ativos e Custos'!L10,"")</f>
        <v/>
      </c>
    </row>
    <row r="17" spans="2:3" x14ac:dyDescent="0.2">
      <c r="B17" s="29" t="s">
        <v>52</v>
      </c>
      <c r="C17" s="241">
        <f>IFERROR('DADOS-Campanha'!M36/$C$13/'DADOS-Ativos e Custos'!L11,"")</f>
        <v>0.34342147163722819</v>
      </c>
    </row>
    <row r="18" spans="2:3" x14ac:dyDescent="0.2">
      <c r="B18" s="29" t="s">
        <v>83</v>
      </c>
      <c r="C18" s="241" t="str">
        <f>IFERROR('DADOS-Campanha'!G35/$C$13/'DADOS-Ativos e Custos'!L12,"")</f>
        <v/>
      </c>
    </row>
    <row r="19" spans="2:3" x14ac:dyDescent="0.2">
      <c r="B19" s="29" t="s">
        <v>84</v>
      </c>
      <c r="C19" s="241" t="str">
        <f>IFERROR('DADOS-Campanha'!J36/$C$13/'DADOS-Ativos e Custos'!L13,"")</f>
        <v/>
      </c>
    </row>
    <row r="20" spans="2:3" x14ac:dyDescent="0.2">
      <c r="B20" s="29" t="s">
        <v>85</v>
      </c>
      <c r="C20" s="241" t="str">
        <f>IFERROR('DADOS-Campanha'!G35/$C$13/'DADOS-Ativos e Custos'!L14,"")</f>
        <v/>
      </c>
    </row>
    <row r="21" spans="2:3" x14ac:dyDescent="0.2">
      <c r="B21" s="29" t="s">
        <v>49</v>
      </c>
      <c r="C21" s="241">
        <f>IFERROR('DADOS-Campanha'!P35/$C$13/('DADOS-Ativos e Custos'!L20+'DADOS-Ativos e Custos'!L21)*1000,"")</f>
        <v>0.40242825153751616</v>
      </c>
    </row>
    <row r="23" spans="2:3" x14ac:dyDescent="0.2">
      <c r="B23" s="1"/>
    </row>
  </sheetData>
  <mergeCells count="2">
    <mergeCell ref="E3:F3"/>
    <mergeCell ref="H3:I3"/>
  </mergeCells>
  <conditionalFormatting sqref="C16:C20">
    <cfRule type="cellIs" dxfId="153" priority="5" operator="between">
      <formula>0.00001</formula>
      <formula>0.45</formula>
    </cfRule>
  </conditionalFormatting>
  <conditionalFormatting sqref="C21">
    <cfRule type="cellIs" dxfId="152" priority="2" operator="between">
      <formula>0.00001</formula>
      <formula>0.15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71950FA-01FB-469D-8FD4-8E4D49D80C02}">
            <x14:iconSet iconSet="3Symbols2" custom="1">
              <x14:cfvo type="percent">
                <xm:f>0</xm:f>
              </x14:cfvo>
              <x14:cfvo type="num">
                <xm:f>0.45</xm:f>
              </x14:cfvo>
              <x14:cfvo type="num">
                <xm:f>1</xm:f>
              </x14:cfvo>
              <x14:cfIcon iconSet="3Symbols" iconId="1"/>
              <x14:cfIcon iconSet="NoIcons" iconId="0"/>
              <x14:cfIcon iconSet="3Symbols" iconId="0"/>
            </x14:iconSet>
          </x14:cfRule>
          <xm:sqref>C15:C20</xm:sqref>
        </x14:conditionalFormatting>
        <x14:conditionalFormatting xmlns:xm="http://schemas.microsoft.com/office/excel/2006/main">
          <x14:cfRule type="iconSet" priority="1" id="{36938A16-F7F9-4C34-8DF2-E81F99B146B2}">
            <x14:iconSet iconSet="3Symbols2" custom="1">
              <x14:cfvo type="percent">
                <xm:f>0</xm:f>
              </x14:cfvo>
              <x14:cfvo type="num">
                <xm:f>0.15</xm:f>
              </x14:cfvo>
              <x14:cfvo type="num">
                <xm:f>1</xm:f>
              </x14:cfvo>
              <x14:cfIcon iconSet="3Symbols" iconId="1"/>
              <x14:cfIcon iconSet="NoIcons" iconId="0"/>
              <x14:cfIcon iconSet="3Symbols" iconId="0"/>
            </x14:iconSet>
          </x14:cfRule>
          <xm:sqref>C21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8">
    <tabColor theme="9" tint="-0.249977111117893"/>
  </sheetPr>
  <dimension ref="A1:P141"/>
  <sheetViews>
    <sheetView showGridLines="0" topLeftCell="A127" workbookViewId="0">
      <selection activeCell="N138" sqref="N138"/>
    </sheetView>
  </sheetViews>
  <sheetFormatPr defaultColWidth="9.140625" defaultRowHeight="12.75" x14ac:dyDescent="0.2"/>
  <cols>
    <col min="1" max="1" width="0.7109375" style="2" customWidth="1"/>
    <col min="2" max="2" width="8.140625" style="2" customWidth="1"/>
    <col min="3" max="3" width="12.85546875" style="2" customWidth="1"/>
    <col min="4" max="4" width="3.7109375" style="2" customWidth="1"/>
    <col min="5" max="5" width="8.5703125" style="2" customWidth="1"/>
    <col min="6" max="6" width="13" style="2" customWidth="1"/>
    <col min="7" max="7" width="13.28515625" style="2" customWidth="1"/>
    <col min="8" max="8" width="14.7109375" style="2" bestFit="1" customWidth="1"/>
    <col min="9" max="9" width="14.5703125" style="2" customWidth="1"/>
    <col min="10" max="10" width="12.5703125" style="2" customWidth="1"/>
    <col min="11" max="11" width="18.85546875" style="2" customWidth="1"/>
    <col min="12" max="12" width="13.7109375" style="2" customWidth="1"/>
    <col min="13" max="13" width="12.140625" style="2" customWidth="1"/>
    <col min="14" max="14" width="13.5703125" style="2" customWidth="1"/>
    <col min="15" max="15" width="11.85546875" style="2" customWidth="1"/>
    <col min="16" max="16384" width="9.140625" style="2"/>
  </cols>
  <sheetData>
    <row r="1" spans="1:16" x14ac:dyDescent="0.2">
      <c r="H1" s="22" t="s">
        <v>64</v>
      </c>
    </row>
    <row r="2" spans="1:16" x14ac:dyDescent="0.2">
      <c r="B2" s="1" t="s">
        <v>423</v>
      </c>
      <c r="C2" s="1"/>
      <c r="G2" s="24" t="s">
        <v>62</v>
      </c>
      <c r="H2" s="9"/>
    </row>
    <row r="3" spans="1:16" x14ac:dyDescent="0.2">
      <c r="B3" s="1"/>
      <c r="C3" s="1"/>
      <c r="G3" s="24" t="s">
        <v>63</v>
      </c>
      <c r="H3" s="31"/>
    </row>
    <row r="4" spans="1:16" x14ac:dyDescent="0.2">
      <c r="B4" s="1"/>
      <c r="C4" s="1"/>
    </row>
    <row r="5" spans="1:16" x14ac:dyDescent="0.2">
      <c r="B5" s="1"/>
      <c r="C5" s="1"/>
    </row>
    <row r="6" spans="1:16" x14ac:dyDescent="0.2">
      <c r="F6" s="1" t="s">
        <v>424</v>
      </c>
      <c r="K6" s="1" t="s">
        <v>425</v>
      </c>
    </row>
    <row r="7" spans="1:16" ht="4.5" customHeight="1" thickBot="1" x14ac:dyDescent="0.25">
      <c r="F7" s="1"/>
      <c r="K7" s="1"/>
    </row>
    <row r="8" spans="1:16" ht="13.5" thickBot="1" x14ac:dyDescent="0.25">
      <c r="B8" s="786" t="s">
        <v>47</v>
      </c>
      <c r="C8" s="787"/>
      <c r="D8" s="788" t="s">
        <v>48</v>
      </c>
      <c r="E8" s="789"/>
      <c r="F8" s="59" t="s">
        <v>51</v>
      </c>
      <c r="G8" s="59" t="s">
        <v>50</v>
      </c>
      <c r="H8" s="59" t="s">
        <v>52</v>
      </c>
      <c r="I8" s="59" t="s">
        <v>49</v>
      </c>
      <c r="K8" s="18" t="s">
        <v>7</v>
      </c>
      <c r="L8" s="18" t="s">
        <v>8</v>
      </c>
      <c r="M8" s="18" t="s">
        <v>6</v>
      </c>
      <c r="N8" s="18" t="s">
        <v>20</v>
      </c>
      <c r="O8" s="18" t="s">
        <v>53</v>
      </c>
    </row>
    <row r="9" spans="1:16" x14ac:dyDescent="0.2">
      <c r="A9" s="77">
        <f>O9</f>
        <v>16.085349922868332</v>
      </c>
      <c r="B9" s="19">
        <v>0</v>
      </c>
      <c r="C9" s="19">
        <v>1.0416666666666666E-2</v>
      </c>
      <c r="D9" s="20">
        <v>1</v>
      </c>
      <c r="E9" s="58" t="str">
        <f>'DADOS-Campanha'!E50</f>
        <v>FP</v>
      </c>
      <c r="F9" s="17">
        <f>'DADOS-Campanha'!F50</f>
        <v>0</v>
      </c>
      <c r="G9" s="17">
        <f>'DADOS-Campanha'!G50</f>
        <v>0</v>
      </c>
      <c r="H9" s="17">
        <f>'DADOS-Campanha'!H50</f>
        <v>2.8958844014161165</v>
      </c>
      <c r="I9" s="17">
        <f>'DADOS-Campanha'!I50</f>
        <v>11.720794167559152</v>
      </c>
      <c r="J9" s="85"/>
      <c r="K9" s="17">
        <f>'DADOS-Campanha'!K50*FS_AT2*(1+IPNT_AT2)*(1+FPE_AT2)</f>
        <v>0</v>
      </c>
      <c r="L9" s="17">
        <f>'DADOS-Campanha'!L50*FS_AT3*(1+IPNT_AT3)*(1+FPE_AT3)</f>
        <v>0</v>
      </c>
      <c r="M9" s="17">
        <f>'DADOS-Campanha'!M50*FS_MT*(1+IPNT_MT)*(1+FPE_MT)</f>
        <v>2.9737651227555308</v>
      </c>
      <c r="N9" s="17">
        <f>'DADOS-Campanha'!N50*FS_BT*(1+IPNT_BT)*(1+FPE_BT)</f>
        <v>13.111584800112801</v>
      </c>
      <c r="O9" s="79">
        <f t="shared" ref="O9:O72" si="0">SUM(K9:N9)</f>
        <v>16.085349922868332</v>
      </c>
      <c r="P9" s="76"/>
    </row>
    <row r="10" spans="1:16" x14ac:dyDescent="0.2">
      <c r="A10" s="77">
        <f t="shared" ref="A10:A73" si="1">O10</f>
        <v>16.411777822324215</v>
      </c>
      <c r="B10" s="19">
        <v>1.0416666666666666E-2</v>
      </c>
      <c r="C10" s="19">
        <v>2.0833333333333332E-2</v>
      </c>
      <c r="D10" s="20">
        <v>2</v>
      </c>
      <c r="E10" s="58" t="str">
        <f>'DADOS-Campanha'!E51</f>
        <v>FP</v>
      </c>
      <c r="F10" s="17">
        <f>'DADOS-Campanha'!F51</f>
        <v>0</v>
      </c>
      <c r="G10" s="17">
        <f>'DADOS-Campanha'!G51</f>
        <v>0</v>
      </c>
      <c r="H10" s="17">
        <f>'DADOS-Campanha'!H51</f>
        <v>2.5578508326922305</v>
      </c>
      <c r="I10" s="17">
        <f>'DADOS-Campanha'!I51</f>
        <v>11.203565017404694</v>
      </c>
      <c r="J10" s="85"/>
      <c r="K10" s="17">
        <f>'DADOS-Campanha'!K51*FS_AT2*(1+IPNT_AT2)*(1+FPE_AT2)</f>
        <v>0</v>
      </c>
      <c r="L10" s="17">
        <f>'DADOS-Campanha'!L51*FS_AT3*(1+IPNT_AT3)*(1+FPE_AT3)</f>
        <v>0</v>
      </c>
      <c r="M10" s="17">
        <f>'DADOS-Campanha'!M51*FS_MT*(1+IPNT_MT)*(1+FPE_MT)</f>
        <v>3.0119141487206837</v>
      </c>
      <c r="N10" s="17">
        <f>'DADOS-Campanha'!N51*FS_BT*(1+IPNT_BT)*(1+FPE_BT)</f>
        <v>13.39986367360353</v>
      </c>
      <c r="O10" s="79">
        <f t="shared" si="0"/>
        <v>16.411777822324215</v>
      </c>
    </row>
    <row r="11" spans="1:16" x14ac:dyDescent="0.2">
      <c r="A11" s="77">
        <f t="shared" si="1"/>
        <v>14.953921146677551</v>
      </c>
      <c r="B11" s="19">
        <v>2.0833333333333332E-2</v>
      </c>
      <c r="C11" s="19">
        <v>3.125E-2</v>
      </c>
      <c r="D11" s="20">
        <v>3</v>
      </c>
      <c r="E11" s="58" t="str">
        <f>'DADOS-Campanha'!E52</f>
        <v>FP</v>
      </c>
      <c r="F11" s="17">
        <f>'DADOS-Campanha'!F52</f>
        <v>0</v>
      </c>
      <c r="G11" s="17">
        <f>'DADOS-Campanha'!G52</f>
        <v>0</v>
      </c>
      <c r="H11" s="17">
        <f>'DADOS-Campanha'!H52</f>
        <v>2.399644336622289</v>
      </c>
      <c r="I11" s="17">
        <f>'DADOS-Campanha'!I52</f>
        <v>10.954130370077626</v>
      </c>
      <c r="J11" s="85"/>
      <c r="K11" s="17">
        <f>'DADOS-Campanha'!K52*FS_AT2*(1+IPNT_AT2)*(1+FPE_AT2)</f>
        <v>0</v>
      </c>
      <c r="L11" s="17">
        <f>'DADOS-Campanha'!L52*FS_AT3*(1+IPNT_AT3)*(1+FPE_AT3)</f>
        <v>0</v>
      </c>
      <c r="M11" s="17">
        <f>'DADOS-Campanha'!M52*FS_MT*(1+IPNT_MT)*(1+FPE_MT)</f>
        <v>2.9392270042864941</v>
      </c>
      <c r="N11" s="17">
        <f>'DADOS-Campanha'!N52*FS_BT*(1+IPNT_BT)*(1+FPE_BT)</f>
        <v>12.014694142391058</v>
      </c>
      <c r="O11" s="79">
        <f t="shared" si="0"/>
        <v>14.953921146677551</v>
      </c>
    </row>
    <row r="12" spans="1:16" x14ac:dyDescent="0.2">
      <c r="A12" s="77">
        <f t="shared" si="1"/>
        <v>15.011340606784856</v>
      </c>
      <c r="B12" s="19">
        <v>3.125E-2</v>
      </c>
      <c r="C12" s="19">
        <v>4.1666666666666664E-2</v>
      </c>
      <c r="D12" s="20">
        <v>4</v>
      </c>
      <c r="E12" s="58" t="str">
        <f>'DADOS-Campanha'!E53</f>
        <v>FP</v>
      </c>
      <c r="F12" s="17">
        <f>'DADOS-Campanha'!F53</f>
        <v>0</v>
      </c>
      <c r="G12" s="17">
        <f>'DADOS-Campanha'!G53</f>
        <v>0</v>
      </c>
      <c r="H12" s="17">
        <f>'DADOS-Campanha'!H53</f>
        <v>2.3187074028568757</v>
      </c>
      <c r="I12" s="17">
        <f>'DADOS-Campanha'!I53</f>
        <v>10.822378900749111</v>
      </c>
      <c r="J12" s="85"/>
      <c r="K12" s="17">
        <f>'DADOS-Campanha'!K53*FS_AT2*(1+IPNT_AT2)*(1+FPE_AT2)</f>
        <v>0</v>
      </c>
      <c r="L12" s="17">
        <f>'DADOS-Campanha'!L53*FS_AT3*(1+IPNT_AT3)*(1+FPE_AT3)</f>
        <v>0</v>
      </c>
      <c r="M12" s="17">
        <f>'DADOS-Campanha'!M53*FS_MT*(1+IPNT_MT)*(1+FPE_MT)</f>
        <v>2.9364187661639933</v>
      </c>
      <c r="N12" s="17">
        <f>'DADOS-Campanha'!N53*FS_BT*(1+IPNT_BT)*(1+FPE_BT)</f>
        <v>12.074921840620862</v>
      </c>
      <c r="O12" s="79">
        <f t="shared" si="0"/>
        <v>15.011340606784856</v>
      </c>
    </row>
    <row r="13" spans="1:16" x14ac:dyDescent="0.2">
      <c r="A13" s="77">
        <f t="shared" si="1"/>
        <v>14.10896970791975</v>
      </c>
      <c r="B13" s="19">
        <v>4.1666666666666664E-2</v>
      </c>
      <c r="C13" s="19">
        <v>5.2083333333333336E-2</v>
      </c>
      <c r="D13" s="20">
        <v>5</v>
      </c>
      <c r="E13" s="58" t="str">
        <f>'DADOS-Campanha'!E54</f>
        <v>FP</v>
      </c>
      <c r="F13" s="17">
        <f>'DADOS-Campanha'!F54</f>
        <v>0</v>
      </c>
      <c r="G13" s="17">
        <f>'DADOS-Campanha'!G54</f>
        <v>0</v>
      </c>
      <c r="H13" s="17">
        <f>'DADOS-Campanha'!H54</f>
        <v>2.1470066517765578</v>
      </c>
      <c r="I13" s="17">
        <f>'DADOS-Campanha'!I54</f>
        <v>10.390158654059354</v>
      </c>
      <c r="J13" s="85"/>
      <c r="K13" s="17">
        <f>'DADOS-Campanha'!K54*FS_AT2*(1+IPNT_AT2)*(1+FPE_AT2)</f>
        <v>0</v>
      </c>
      <c r="L13" s="17">
        <f>'DADOS-Campanha'!L54*FS_AT3*(1+IPNT_AT3)*(1+FPE_AT3)</f>
        <v>0</v>
      </c>
      <c r="M13" s="17">
        <f>'DADOS-Campanha'!M54*FS_MT*(1+IPNT_MT)*(1+FPE_MT)</f>
        <v>2.6668801520174994</v>
      </c>
      <c r="N13" s="17">
        <f>'DADOS-Campanha'!N54*FS_BT*(1+IPNT_BT)*(1+FPE_BT)</f>
        <v>11.44208955590225</v>
      </c>
      <c r="O13" s="79">
        <f t="shared" si="0"/>
        <v>14.10896970791975</v>
      </c>
    </row>
    <row r="14" spans="1:16" x14ac:dyDescent="0.2">
      <c r="A14" s="77">
        <f t="shared" si="1"/>
        <v>14.191877661311629</v>
      </c>
      <c r="B14" s="19">
        <v>5.2083333333333336E-2</v>
      </c>
      <c r="C14" s="19">
        <v>6.25E-2</v>
      </c>
      <c r="D14" s="20">
        <v>6</v>
      </c>
      <c r="E14" s="58" t="str">
        <f>'DADOS-Campanha'!E55</f>
        <v>FP</v>
      </c>
      <c r="F14" s="17">
        <f>'DADOS-Campanha'!F55</f>
        <v>0</v>
      </c>
      <c r="G14" s="17">
        <f>'DADOS-Campanha'!G55</f>
        <v>0</v>
      </c>
      <c r="H14" s="17">
        <f>'DADOS-Campanha'!H55</f>
        <v>2.0677674381189997</v>
      </c>
      <c r="I14" s="17">
        <f>'DADOS-Campanha'!I55</f>
        <v>10.032609234983056</v>
      </c>
      <c r="J14" s="85"/>
      <c r="K14" s="17">
        <f>'DADOS-Campanha'!K55*FS_AT2*(1+IPNT_AT2)*(1+FPE_AT2)</f>
        <v>0</v>
      </c>
      <c r="L14" s="17">
        <f>'DADOS-Campanha'!L55*FS_AT3*(1+IPNT_AT3)*(1+FPE_AT3)</f>
        <v>0</v>
      </c>
      <c r="M14" s="17">
        <f>'DADOS-Campanha'!M55*FS_MT*(1+IPNT_MT)*(1+FPE_MT)</f>
        <v>2.6396438140445899</v>
      </c>
      <c r="N14" s="17">
        <f>'DADOS-Campanha'!N55*FS_BT*(1+IPNT_BT)*(1+FPE_BT)</f>
        <v>11.55223384726704</v>
      </c>
      <c r="O14" s="79">
        <f t="shared" si="0"/>
        <v>14.191877661311629</v>
      </c>
    </row>
    <row r="15" spans="1:16" x14ac:dyDescent="0.2">
      <c r="A15" s="77">
        <f t="shared" si="1"/>
        <v>13.878242119837727</v>
      </c>
      <c r="B15" s="19">
        <v>6.25E-2</v>
      </c>
      <c r="C15" s="19">
        <v>7.2916666666666671E-2</v>
      </c>
      <c r="D15" s="20">
        <v>7</v>
      </c>
      <c r="E15" s="58" t="str">
        <f>'DADOS-Campanha'!E56</f>
        <v>FP</v>
      </c>
      <c r="F15" s="17">
        <f>'DADOS-Campanha'!F56</f>
        <v>0</v>
      </c>
      <c r="G15" s="17">
        <f>'DADOS-Campanha'!G56</f>
        <v>0</v>
      </c>
      <c r="H15" s="17">
        <f>'DADOS-Campanha'!H56</f>
        <v>2.0188809141497992</v>
      </c>
      <c r="I15" s="17">
        <f>'DADOS-Campanha'!I56</f>
        <v>10.020619550189629</v>
      </c>
      <c r="J15" s="85"/>
      <c r="K15" s="17">
        <f>'DADOS-Campanha'!K56*FS_AT2*(1+IPNT_AT2)*(1+FPE_AT2)</f>
        <v>0</v>
      </c>
      <c r="L15" s="17">
        <f>'DADOS-Campanha'!L56*FS_AT3*(1+IPNT_AT3)*(1+FPE_AT3)</f>
        <v>0</v>
      </c>
      <c r="M15" s="17">
        <f>'DADOS-Campanha'!M56*FS_MT*(1+IPNT_MT)*(1+FPE_MT)</f>
        <v>2.6973546219082518</v>
      </c>
      <c r="N15" s="17">
        <f>'DADOS-Campanha'!N56*FS_BT*(1+IPNT_BT)*(1+FPE_BT)</f>
        <v>11.180887497929476</v>
      </c>
      <c r="O15" s="79">
        <f t="shared" si="0"/>
        <v>13.878242119837727</v>
      </c>
    </row>
    <row r="16" spans="1:16" x14ac:dyDescent="0.2">
      <c r="A16" s="77">
        <f t="shared" si="1"/>
        <v>13.600185288450438</v>
      </c>
      <c r="B16" s="19">
        <v>7.2916666666666671E-2</v>
      </c>
      <c r="C16" s="19">
        <v>8.3333333333333329E-2</v>
      </c>
      <c r="D16" s="20">
        <v>8</v>
      </c>
      <c r="E16" s="58" t="str">
        <f>'DADOS-Campanha'!E57</f>
        <v>FP</v>
      </c>
      <c r="F16" s="17">
        <f>'DADOS-Campanha'!F57</f>
        <v>0</v>
      </c>
      <c r="G16" s="17">
        <f>'DADOS-Campanha'!G57</f>
        <v>0</v>
      </c>
      <c r="H16" s="17">
        <f>'DADOS-Campanha'!H57</f>
        <v>1.9119475783269224</v>
      </c>
      <c r="I16" s="17">
        <f>'DADOS-Campanha'!I57</f>
        <v>9.7173056198598076</v>
      </c>
      <c r="J16" s="85"/>
      <c r="K16" s="17">
        <f>'DADOS-Campanha'!K57*FS_AT2*(1+IPNT_AT2)*(1+FPE_AT2)</f>
        <v>0</v>
      </c>
      <c r="L16" s="17">
        <f>'DADOS-Campanha'!L57*FS_AT3*(1+IPNT_AT3)*(1+FPE_AT3)</f>
        <v>0</v>
      </c>
      <c r="M16" s="17">
        <f>'DADOS-Campanha'!M57*FS_MT*(1+IPNT_MT)*(1+FPE_MT)</f>
        <v>2.7112060036330079</v>
      </c>
      <c r="N16" s="17">
        <f>'DADOS-Campanha'!N57*FS_BT*(1+IPNT_BT)*(1+FPE_BT)</f>
        <v>10.888979284817431</v>
      </c>
      <c r="O16" s="79">
        <f t="shared" si="0"/>
        <v>13.600185288450438</v>
      </c>
    </row>
    <row r="17" spans="1:15" x14ac:dyDescent="0.2">
      <c r="A17" s="77">
        <f t="shared" si="1"/>
        <v>13.799333094612431</v>
      </c>
      <c r="B17" s="19">
        <v>8.3333333333333329E-2</v>
      </c>
      <c r="C17" s="19">
        <v>9.375E-2</v>
      </c>
      <c r="D17" s="20">
        <v>9</v>
      </c>
      <c r="E17" s="58" t="str">
        <f>'DADOS-Campanha'!E58</f>
        <v>FP</v>
      </c>
      <c r="F17" s="17">
        <f>'DADOS-Campanha'!F58</f>
        <v>0</v>
      </c>
      <c r="G17" s="17">
        <f>'DADOS-Campanha'!G58</f>
        <v>0</v>
      </c>
      <c r="H17" s="17">
        <f>'DADOS-Campanha'!H58</f>
        <v>1.8613044838998334</v>
      </c>
      <c r="I17" s="17">
        <f>'DADOS-Campanha'!I58</f>
        <v>9.4364238845920685</v>
      </c>
      <c r="J17" s="85"/>
      <c r="K17" s="17">
        <f>'DADOS-Campanha'!K58*FS_AT2*(1+IPNT_AT2)*(1+FPE_AT2)</f>
        <v>0</v>
      </c>
      <c r="L17" s="17">
        <f>'DADOS-Campanha'!L58*FS_AT3*(1+IPNT_AT3)*(1+FPE_AT3)</f>
        <v>0</v>
      </c>
      <c r="M17" s="17">
        <f>'DADOS-Campanha'!M58*FS_MT*(1+IPNT_MT)*(1+FPE_MT)</f>
        <v>2.6406708543935209</v>
      </c>
      <c r="N17" s="17">
        <f>'DADOS-Campanha'!N58*FS_BT*(1+IPNT_BT)*(1+FPE_BT)</f>
        <v>11.158662240218909</v>
      </c>
      <c r="O17" s="79">
        <f t="shared" si="0"/>
        <v>13.799333094612431</v>
      </c>
    </row>
    <row r="18" spans="1:15" x14ac:dyDescent="0.2">
      <c r="A18" s="77">
        <f t="shared" si="1"/>
        <v>14.290727935623707</v>
      </c>
      <c r="B18" s="19">
        <v>9.375E-2</v>
      </c>
      <c r="C18" s="19">
        <v>0.10416666666666667</v>
      </c>
      <c r="D18" s="20">
        <v>10</v>
      </c>
      <c r="E18" s="58" t="str">
        <f>'DADOS-Campanha'!E59</f>
        <v>FP</v>
      </c>
      <c r="F18" s="17">
        <f>'DADOS-Campanha'!F59</f>
        <v>0</v>
      </c>
      <c r="G18" s="17">
        <f>'DADOS-Campanha'!G59</f>
        <v>0</v>
      </c>
      <c r="H18" s="17">
        <f>'DADOS-Campanha'!H59</f>
        <v>1.8033754911573909</v>
      </c>
      <c r="I18" s="17">
        <f>'DADOS-Campanha'!I59</f>
        <v>9.0853289618094433</v>
      </c>
      <c r="J18" s="85"/>
      <c r="K18" s="17">
        <f>'DADOS-Campanha'!K59*FS_AT2*(1+IPNT_AT2)*(1+FPE_AT2)</f>
        <v>0</v>
      </c>
      <c r="L18" s="17">
        <f>'DADOS-Campanha'!L59*FS_AT3*(1+IPNT_AT3)*(1+FPE_AT3)</f>
        <v>0</v>
      </c>
      <c r="M18" s="17">
        <f>'DADOS-Campanha'!M59*FS_MT*(1+IPNT_MT)*(1+FPE_MT)</f>
        <v>2.630695590237226</v>
      </c>
      <c r="N18" s="17">
        <f>'DADOS-Campanha'!N59*FS_BT*(1+IPNT_BT)*(1+FPE_BT)</f>
        <v>11.660032345386481</v>
      </c>
      <c r="O18" s="79">
        <f t="shared" si="0"/>
        <v>14.290727935623707</v>
      </c>
    </row>
    <row r="19" spans="1:15" x14ac:dyDescent="0.2">
      <c r="A19" s="77">
        <f t="shared" si="1"/>
        <v>13.868891987754868</v>
      </c>
      <c r="B19" s="19">
        <v>0.10416666666666667</v>
      </c>
      <c r="C19" s="19">
        <v>0.11458333333333333</v>
      </c>
      <c r="D19" s="20">
        <v>11</v>
      </c>
      <c r="E19" s="58" t="str">
        <f>'DADOS-Campanha'!E60</f>
        <v>FP</v>
      </c>
      <c r="F19" s="17">
        <f>'DADOS-Campanha'!F60</f>
        <v>0</v>
      </c>
      <c r="G19" s="17">
        <f>'DADOS-Campanha'!G60</f>
        <v>0</v>
      </c>
      <c r="H19" s="17">
        <f>'DADOS-Campanha'!H60</f>
        <v>1.686026649873521</v>
      </c>
      <c r="I19" s="17">
        <f>'DADOS-Campanha'!I60</f>
        <v>9.0516386708003012</v>
      </c>
      <c r="J19" s="85"/>
      <c r="K19" s="17">
        <f>'DADOS-Campanha'!K60*FS_AT2*(1+IPNT_AT2)*(1+FPE_AT2)</f>
        <v>0</v>
      </c>
      <c r="L19" s="17">
        <f>'DADOS-Campanha'!L60*FS_AT3*(1+IPNT_AT3)*(1+FPE_AT3)</f>
        <v>0</v>
      </c>
      <c r="M19" s="17">
        <f>'DADOS-Campanha'!M60*FS_MT*(1+IPNT_MT)*(1+FPE_MT)</f>
        <v>2.6200358066384757</v>
      </c>
      <c r="N19" s="17">
        <f>'DADOS-Campanha'!N60*FS_BT*(1+IPNT_BT)*(1+FPE_BT)</f>
        <v>11.248856181116393</v>
      </c>
      <c r="O19" s="79">
        <f t="shared" si="0"/>
        <v>13.868891987754868</v>
      </c>
    </row>
    <row r="20" spans="1:15" x14ac:dyDescent="0.2">
      <c r="A20" s="77">
        <f t="shared" si="1"/>
        <v>13.045737176195606</v>
      </c>
      <c r="B20" s="19">
        <v>0.11458333333333333</v>
      </c>
      <c r="C20" s="19">
        <v>0.125</v>
      </c>
      <c r="D20" s="20">
        <v>12</v>
      </c>
      <c r="E20" s="58" t="str">
        <f>'DADOS-Campanha'!E61</f>
        <v>FP</v>
      </c>
      <c r="F20" s="17">
        <f>'DADOS-Campanha'!F61</f>
        <v>0</v>
      </c>
      <c r="G20" s="17">
        <f>'DADOS-Campanha'!G61</f>
        <v>0</v>
      </c>
      <c r="H20" s="17">
        <f>'DADOS-Campanha'!H61</f>
        <v>1.6826660225409291</v>
      </c>
      <c r="I20" s="17">
        <f>'DADOS-Campanha'!I61</f>
        <v>9.378849014941558</v>
      </c>
      <c r="J20" s="85"/>
      <c r="K20" s="17">
        <f>'DADOS-Campanha'!K61*FS_AT2*(1+IPNT_AT2)*(1+FPE_AT2)</f>
        <v>0</v>
      </c>
      <c r="L20" s="17">
        <f>'DADOS-Campanha'!L61*FS_AT3*(1+IPNT_AT3)*(1+FPE_AT3)</f>
        <v>0</v>
      </c>
      <c r="M20" s="17">
        <f>'DADOS-Campanha'!M61*FS_MT*(1+IPNT_MT)*(1+FPE_MT)</f>
        <v>2.6238291327642695</v>
      </c>
      <c r="N20" s="17">
        <f>'DADOS-Campanha'!N61*FS_BT*(1+IPNT_BT)*(1+FPE_BT)</f>
        <v>10.421908043431337</v>
      </c>
      <c r="O20" s="79">
        <f t="shared" si="0"/>
        <v>13.045737176195606</v>
      </c>
    </row>
    <row r="21" spans="1:15" x14ac:dyDescent="0.2">
      <c r="A21" s="77">
        <f t="shared" si="1"/>
        <v>12.880408986389464</v>
      </c>
      <c r="B21" s="19">
        <v>0.125</v>
      </c>
      <c r="C21" s="19">
        <v>0.13541666666666666</v>
      </c>
      <c r="D21" s="20">
        <v>13</v>
      </c>
      <c r="E21" s="58" t="str">
        <f>'DADOS-Campanha'!E62</f>
        <v>FP</v>
      </c>
      <c r="F21" s="17">
        <f>'DADOS-Campanha'!F62</f>
        <v>0</v>
      </c>
      <c r="G21" s="17">
        <f>'DADOS-Campanha'!G62</f>
        <v>0</v>
      </c>
      <c r="H21" s="17">
        <f>'DADOS-Campanha'!H62</f>
        <v>1.6278954700633077</v>
      </c>
      <c r="I21" s="17">
        <f>'DADOS-Campanha'!I62</f>
        <v>8.8661077503202996</v>
      </c>
      <c r="J21" s="85"/>
      <c r="K21" s="17">
        <f>'DADOS-Campanha'!K62*FS_AT2*(1+IPNT_AT2)*(1+FPE_AT2)</f>
        <v>0</v>
      </c>
      <c r="L21" s="17">
        <f>'DADOS-Campanha'!L62*FS_AT3*(1+IPNT_AT3)*(1+FPE_AT3)</f>
        <v>0</v>
      </c>
      <c r="M21" s="17">
        <f>'DADOS-Campanha'!M62*FS_MT*(1+IPNT_MT)*(1+FPE_MT)</f>
        <v>2.55175998688645</v>
      </c>
      <c r="N21" s="17">
        <f>'DADOS-Campanha'!N62*FS_BT*(1+IPNT_BT)*(1+FPE_BT)</f>
        <v>10.328648999503013</v>
      </c>
      <c r="O21" s="79">
        <f t="shared" si="0"/>
        <v>12.880408986389464</v>
      </c>
    </row>
    <row r="22" spans="1:15" x14ac:dyDescent="0.2">
      <c r="A22" s="77">
        <f t="shared" si="1"/>
        <v>12.98011155608272</v>
      </c>
      <c r="B22" s="19">
        <v>0.13541666666666666</v>
      </c>
      <c r="C22" s="19">
        <v>0.14583333333333334</v>
      </c>
      <c r="D22" s="20">
        <v>14</v>
      </c>
      <c r="E22" s="58" t="str">
        <f>'DADOS-Campanha'!E63</f>
        <v>FP</v>
      </c>
      <c r="F22" s="17">
        <f>'DADOS-Campanha'!F63</f>
        <v>0</v>
      </c>
      <c r="G22" s="17">
        <f>'DADOS-Campanha'!G63</f>
        <v>0</v>
      </c>
      <c r="H22" s="17">
        <f>'DADOS-Campanha'!H63</f>
        <v>1.5998166892217645</v>
      </c>
      <c r="I22" s="17">
        <f>'DADOS-Campanha'!I63</f>
        <v>8.7526011271310811</v>
      </c>
      <c r="J22" s="85"/>
      <c r="K22" s="17">
        <f>'DADOS-Campanha'!K63*FS_AT2*(1+IPNT_AT2)*(1+FPE_AT2)</f>
        <v>0</v>
      </c>
      <c r="L22" s="17">
        <f>'DADOS-Campanha'!L63*FS_AT3*(1+IPNT_AT3)*(1+FPE_AT3)</f>
        <v>0</v>
      </c>
      <c r="M22" s="17">
        <f>'DADOS-Campanha'!M63*FS_MT*(1+IPNT_MT)*(1+FPE_MT)</f>
        <v>2.51668009313692</v>
      </c>
      <c r="N22" s="17">
        <f>'DADOS-Campanha'!N63*FS_BT*(1+IPNT_BT)*(1+FPE_BT)</f>
        <v>10.463431462945801</v>
      </c>
      <c r="O22" s="79">
        <f t="shared" si="0"/>
        <v>12.98011155608272</v>
      </c>
    </row>
    <row r="23" spans="1:15" x14ac:dyDescent="0.2">
      <c r="A23" s="77">
        <f t="shared" si="1"/>
        <v>14.050795498284989</v>
      </c>
      <c r="B23" s="19">
        <v>0.14583333333333334</v>
      </c>
      <c r="C23" s="19">
        <v>0.15625</v>
      </c>
      <c r="D23" s="20">
        <v>15</v>
      </c>
      <c r="E23" s="58" t="str">
        <f>'DADOS-Campanha'!E64</f>
        <v>FP</v>
      </c>
      <c r="F23" s="17">
        <f>'DADOS-Campanha'!F64</f>
        <v>0</v>
      </c>
      <c r="G23" s="17">
        <f>'DADOS-Campanha'!G64</f>
        <v>0</v>
      </c>
      <c r="H23" s="17">
        <f>'DADOS-Campanha'!H64</f>
        <v>1.5890708758102314</v>
      </c>
      <c r="I23" s="17">
        <f>'DADOS-Campanha'!I64</f>
        <v>8.7435859054977652</v>
      </c>
      <c r="J23" s="85"/>
      <c r="K23" s="17">
        <f>'DADOS-Campanha'!K64*FS_AT2*(1+IPNT_AT2)*(1+FPE_AT2)</f>
        <v>0</v>
      </c>
      <c r="L23" s="17">
        <f>'DADOS-Campanha'!L64*FS_AT3*(1+IPNT_AT3)*(1+FPE_AT3)</f>
        <v>0</v>
      </c>
      <c r="M23" s="17">
        <f>'DADOS-Campanha'!M64*FS_MT*(1+IPNT_MT)*(1+FPE_MT)</f>
        <v>2.5793902350342961</v>
      </c>
      <c r="N23" s="17">
        <f>'DADOS-Campanha'!N64*FS_BT*(1+IPNT_BT)*(1+FPE_BT)</f>
        <v>11.471405263250693</v>
      </c>
      <c r="O23" s="79">
        <f t="shared" si="0"/>
        <v>14.050795498284989</v>
      </c>
    </row>
    <row r="24" spans="1:15" x14ac:dyDescent="0.2">
      <c r="A24" s="77">
        <f t="shared" si="1"/>
        <v>13.060926300426642</v>
      </c>
      <c r="B24" s="19">
        <v>0.15625</v>
      </c>
      <c r="C24" s="19">
        <v>0.16666666666666666</v>
      </c>
      <c r="D24" s="20">
        <v>16</v>
      </c>
      <c r="E24" s="58" t="str">
        <f>'DADOS-Campanha'!E65</f>
        <v>FP</v>
      </c>
      <c r="F24" s="17">
        <f>'DADOS-Campanha'!F65</f>
        <v>0</v>
      </c>
      <c r="G24" s="17">
        <f>'DADOS-Campanha'!G65</f>
        <v>0</v>
      </c>
      <c r="H24" s="17">
        <f>'DADOS-Campanha'!H65</f>
        <v>1.5759937833414397</v>
      </c>
      <c r="I24" s="17">
        <f>'DADOS-Campanha'!I65</f>
        <v>8.5941148852868547</v>
      </c>
      <c r="J24" s="85"/>
      <c r="K24" s="17">
        <f>'DADOS-Campanha'!K65*FS_AT2*(1+IPNT_AT2)*(1+FPE_AT2)</f>
        <v>0</v>
      </c>
      <c r="L24" s="17">
        <f>'DADOS-Campanha'!L65*FS_AT3*(1+IPNT_AT3)*(1+FPE_AT3)</f>
        <v>0</v>
      </c>
      <c r="M24" s="17">
        <f>'DADOS-Campanha'!M65*FS_MT*(1+IPNT_MT)*(1+FPE_MT)</f>
        <v>2.5679568806678663</v>
      </c>
      <c r="N24" s="17">
        <f>'DADOS-Campanha'!N65*FS_BT*(1+IPNT_BT)*(1+FPE_BT)</f>
        <v>10.492969419758776</v>
      </c>
      <c r="O24" s="79">
        <f t="shared" si="0"/>
        <v>13.060926300426642</v>
      </c>
    </row>
    <row r="25" spans="1:15" x14ac:dyDescent="0.2">
      <c r="A25" s="77">
        <f t="shared" si="1"/>
        <v>13.52579528802409</v>
      </c>
      <c r="B25" s="19">
        <v>0.16666666666666666</v>
      </c>
      <c r="C25" s="19">
        <v>0.17708333333333334</v>
      </c>
      <c r="D25" s="20">
        <v>17</v>
      </c>
      <c r="E25" s="58" t="str">
        <f>'DADOS-Campanha'!E66</f>
        <v>FP</v>
      </c>
      <c r="F25" s="17">
        <f>'DADOS-Campanha'!F66</f>
        <v>0</v>
      </c>
      <c r="G25" s="17">
        <f>'DADOS-Campanha'!G66</f>
        <v>0</v>
      </c>
      <c r="H25" s="17">
        <f>'DADOS-Campanha'!H66</f>
        <v>1.6084321081209711</v>
      </c>
      <c r="I25" s="17">
        <f>'DADOS-Campanha'!I66</f>
        <v>8.6279576089031416</v>
      </c>
      <c r="J25" s="85"/>
      <c r="K25" s="17">
        <f>'DADOS-Campanha'!K66*FS_AT2*(1+IPNT_AT2)*(1+FPE_AT2)</f>
        <v>0</v>
      </c>
      <c r="L25" s="17">
        <f>'DADOS-Campanha'!L66*FS_AT3*(1+IPNT_AT3)*(1+FPE_AT3)</f>
        <v>0</v>
      </c>
      <c r="M25" s="17">
        <f>'DADOS-Campanha'!M66*FS_MT*(1+IPNT_MT)*(1+FPE_MT)</f>
        <v>2.5426695841048805</v>
      </c>
      <c r="N25" s="17">
        <f>'DADOS-Campanha'!N66*FS_BT*(1+IPNT_BT)*(1+FPE_BT)</f>
        <v>10.98312570391921</v>
      </c>
      <c r="O25" s="79">
        <f t="shared" si="0"/>
        <v>13.52579528802409</v>
      </c>
    </row>
    <row r="26" spans="1:15" x14ac:dyDescent="0.2">
      <c r="A26" s="77">
        <f t="shared" si="1"/>
        <v>12.938149299492531</v>
      </c>
      <c r="B26" s="19">
        <v>0.17708333333333334</v>
      </c>
      <c r="C26" s="19">
        <v>0.1875</v>
      </c>
      <c r="D26" s="20">
        <v>18</v>
      </c>
      <c r="E26" s="58" t="str">
        <f>'DADOS-Campanha'!E67</f>
        <v>FP</v>
      </c>
      <c r="F26" s="17">
        <f>'DADOS-Campanha'!F67</f>
        <v>0</v>
      </c>
      <c r="G26" s="17">
        <f>'DADOS-Campanha'!G67</f>
        <v>0</v>
      </c>
      <c r="H26" s="17">
        <f>'DADOS-Campanha'!H67</f>
        <v>1.6045544384273713</v>
      </c>
      <c r="I26" s="17">
        <f>'DADOS-Campanha'!I67</f>
        <v>8.7436835456508675</v>
      </c>
      <c r="J26" s="85"/>
      <c r="K26" s="17">
        <f>'DADOS-Campanha'!K67*FS_AT2*(1+IPNT_AT2)*(1+FPE_AT2)</f>
        <v>0</v>
      </c>
      <c r="L26" s="17">
        <f>'DADOS-Campanha'!L67*FS_AT3*(1+IPNT_AT3)*(1+FPE_AT3)</f>
        <v>0</v>
      </c>
      <c r="M26" s="17">
        <f>'DADOS-Campanha'!M67*FS_MT*(1+IPNT_MT)*(1+FPE_MT)</f>
        <v>2.5708476190757064</v>
      </c>
      <c r="N26" s="17">
        <f>'DADOS-Campanha'!N67*FS_BT*(1+IPNT_BT)*(1+FPE_BT)</f>
        <v>10.367301680416825</v>
      </c>
      <c r="O26" s="79">
        <f t="shared" si="0"/>
        <v>12.938149299492531</v>
      </c>
    </row>
    <row r="27" spans="1:15" x14ac:dyDescent="0.2">
      <c r="A27" s="77">
        <f t="shared" si="1"/>
        <v>12.968672502747538</v>
      </c>
      <c r="B27" s="19">
        <v>0.1875</v>
      </c>
      <c r="C27" s="19">
        <v>0.19791666666666666</v>
      </c>
      <c r="D27" s="20">
        <v>19</v>
      </c>
      <c r="E27" s="58" t="str">
        <f>'DADOS-Campanha'!E68</f>
        <v>FP</v>
      </c>
      <c r="F27" s="17">
        <f>'DADOS-Campanha'!F68</f>
        <v>0</v>
      </c>
      <c r="G27" s="17">
        <f>'DADOS-Campanha'!G68</f>
        <v>0</v>
      </c>
      <c r="H27" s="17">
        <f>'DADOS-Campanha'!H68</f>
        <v>1.6008107509693106</v>
      </c>
      <c r="I27" s="17">
        <f>'DADOS-Campanha'!I68</f>
        <v>8.4853170708055359</v>
      </c>
      <c r="J27" s="85"/>
      <c r="K27" s="17">
        <f>'DADOS-Campanha'!K68*FS_AT2*(1+IPNT_AT2)*(1+FPE_AT2)</f>
        <v>0</v>
      </c>
      <c r="L27" s="17">
        <f>'DADOS-Campanha'!L68*FS_AT3*(1+IPNT_AT3)*(1+FPE_AT3)</f>
        <v>0</v>
      </c>
      <c r="M27" s="17">
        <f>'DADOS-Campanha'!M68*FS_MT*(1+IPNT_MT)*(1+FPE_MT)</f>
        <v>2.5646496845190447</v>
      </c>
      <c r="N27" s="17">
        <f>'DADOS-Campanha'!N68*FS_BT*(1+IPNT_BT)*(1+FPE_BT)</f>
        <v>10.404022818228492</v>
      </c>
      <c r="O27" s="79">
        <f t="shared" si="0"/>
        <v>12.968672502747538</v>
      </c>
    </row>
    <row r="28" spans="1:15" x14ac:dyDescent="0.2">
      <c r="A28" s="77">
        <f t="shared" si="1"/>
        <v>13.165861501628065</v>
      </c>
      <c r="B28" s="19">
        <v>0.19791666666666666</v>
      </c>
      <c r="C28" s="19">
        <v>0.20833333333333334</v>
      </c>
      <c r="D28" s="20">
        <v>20</v>
      </c>
      <c r="E28" s="58" t="str">
        <f>'DADOS-Campanha'!E69</f>
        <v>FP</v>
      </c>
      <c r="F28" s="17">
        <f>'DADOS-Campanha'!F69</f>
        <v>0</v>
      </c>
      <c r="G28" s="17">
        <f>'DADOS-Campanha'!G69</f>
        <v>0</v>
      </c>
      <c r="H28" s="17">
        <f>'DADOS-Campanha'!H69</f>
        <v>1.6083035135935337</v>
      </c>
      <c r="I28" s="17">
        <f>'DADOS-Campanha'!I69</f>
        <v>8.681552245107147</v>
      </c>
      <c r="J28" s="85"/>
      <c r="K28" s="17">
        <f>'DADOS-Campanha'!K69*FS_AT2*(1+IPNT_AT2)*(1+FPE_AT2)</f>
        <v>0</v>
      </c>
      <c r="L28" s="17">
        <f>'DADOS-Campanha'!L69*FS_AT3*(1+IPNT_AT3)*(1+FPE_AT3)</f>
        <v>0</v>
      </c>
      <c r="M28" s="17">
        <f>'DADOS-Campanha'!M69*FS_MT*(1+IPNT_MT)*(1+FPE_MT)</f>
        <v>2.7327988305466331</v>
      </c>
      <c r="N28" s="17">
        <f>'DADOS-Campanha'!N69*FS_BT*(1+IPNT_BT)*(1+FPE_BT)</f>
        <v>10.433062671081432</v>
      </c>
      <c r="O28" s="79">
        <f t="shared" si="0"/>
        <v>13.165861501628065</v>
      </c>
    </row>
    <row r="29" spans="1:15" x14ac:dyDescent="0.2">
      <c r="A29" s="77">
        <f t="shared" si="1"/>
        <v>14.495532306165943</v>
      </c>
      <c r="B29" s="19">
        <v>0.20833333333333334</v>
      </c>
      <c r="C29" s="19">
        <v>0.21875</v>
      </c>
      <c r="D29" s="20">
        <v>21</v>
      </c>
      <c r="E29" s="58" t="str">
        <f>'DADOS-Campanha'!E70</f>
        <v>FP</v>
      </c>
      <c r="F29" s="17">
        <f>'DADOS-Campanha'!F70</f>
        <v>0</v>
      </c>
      <c r="G29" s="17">
        <f>'DADOS-Campanha'!G70</f>
        <v>0</v>
      </c>
      <c r="H29" s="17">
        <f>'DADOS-Campanha'!H70</f>
        <v>1.612848903858237</v>
      </c>
      <c r="I29" s="17">
        <f>'DADOS-Campanha'!I70</f>
        <v>9.017830082882881</v>
      </c>
      <c r="J29" s="85"/>
      <c r="K29" s="17">
        <f>'DADOS-Campanha'!K70*FS_AT2*(1+IPNT_AT2)*(1+FPE_AT2)</f>
        <v>0</v>
      </c>
      <c r="L29" s="17">
        <f>'DADOS-Campanha'!L70*FS_AT3*(1+IPNT_AT3)*(1+FPE_AT3)</f>
        <v>0</v>
      </c>
      <c r="M29" s="17">
        <f>'DADOS-Campanha'!M70*FS_MT*(1+IPNT_MT)*(1+FPE_MT)</f>
        <v>2.8367314808578104</v>
      </c>
      <c r="N29" s="17">
        <f>'DADOS-Campanha'!N70*FS_BT*(1+IPNT_BT)*(1+FPE_BT)</f>
        <v>11.658800825308132</v>
      </c>
      <c r="O29" s="79">
        <f t="shared" si="0"/>
        <v>14.495532306165943</v>
      </c>
    </row>
    <row r="30" spans="1:15" x14ac:dyDescent="0.2">
      <c r="A30" s="77">
        <f t="shared" si="1"/>
        <v>13.589781105108987</v>
      </c>
      <c r="B30" s="19">
        <v>0.21875</v>
      </c>
      <c r="C30" s="19">
        <v>0.22916666666666666</v>
      </c>
      <c r="D30" s="20">
        <v>22</v>
      </c>
      <c r="E30" s="58" t="str">
        <f>'DADOS-Campanha'!E71</f>
        <v>FP</v>
      </c>
      <c r="F30" s="17">
        <f>'DADOS-Campanha'!F71</f>
        <v>0</v>
      </c>
      <c r="G30" s="17">
        <f>'DADOS-Campanha'!G71</f>
        <v>0</v>
      </c>
      <c r="H30" s="17">
        <f>'DADOS-Campanha'!H71</f>
        <v>1.683791520683922</v>
      </c>
      <c r="I30" s="17">
        <f>'DADOS-Campanha'!I71</f>
        <v>9.0823468824982179</v>
      </c>
      <c r="J30" s="85"/>
      <c r="K30" s="17">
        <f>'DADOS-Campanha'!K71*FS_AT2*(1+IPNT_AT2)*(1+FPE_AT2)</f>
        <v>0</v>
      </c>
      <c r="L30" s="17">
        <f>'DADOS-Campanha'!L71*FS_AT3*(1+IPNT_AT3)*(1+FPE_AT3)</f>
        <v>0</v>
      </c>
      <c r="M30" s="17">
        <f>'DADOS-Campanha'!M71*FS_MT*(1+IPNT_MT)*(1+FPE_MT)</f>
        <v>2.9138082501897493</v>
      </c>
      <c r="N30" s="17">
        <f>'DADOS-Campanha'!N71*FS_BT*(1+IPNT_BT)*(1+FPE_BT)</f>
        <v>10.675972854919237</v>
      </c>
      <c r="O30" s="79">
        <f t="shared" si="0"/>
        <v>13.589781105108987</v>
      </c>
    </row>
    <row r="31" spans="1:15" x14ac:dyDescent="0.2">
      <c r="A31" s="77">
        <f t="shared" si="1"/>
        <v>14.147531022353746</v>
      </c>
      <c r="B31" s="19">
        <v>0.22916666666666666</v>
      </c>
      <c r="C31" s="19">
        <v>0.23958333333333334</v>
      </c>
      <c r="D31" s="20">
        <v>23</v>
      </c>
      <c r="E31" s="58" t="str">
        <f>'DADOS-Campanha'!E72</f>
        <v>FP</v>
      </c>
      <c r="F31" s="17">
        <f>'DADOS-Campanha'!F72</f>
        <v>0</v>
      </c>
      <c r="G31" s="17">
        <f>'DADOS-Campanha'!G72</f>
        <v>0</v>
      </c>
      <c r="H31" s="17">
        <f>'DADOS-Campanha'!H72</f>
        <v>1.7178960682008679</v>
      </c>
      <c r="I31" s="17">
        <f>'DADOS-Campanha'!I72</f>
        <v>8.6559022535965529</v>
      </c>
      <c r="J31" s="85"/>
      <c r="K31" s="17">
        <f>'DADOS-Campanha'!K72*FS_AT2*(1+IPNT_AT2)*(1+FPE_AT2)</f>
        <v>0</v>
      </c>
      <c r="L31" s="17">
        <f>'DADOS-Campanha'!L72*FS_AT3*(1+IPNT_AT3)*(1+FPE_AT3)</f>
        <v>0</v>
      </c>
      <c r="M31" s="17">
        <f>'DADOS-Campanha'!M72*FS_MT*(1+IPNT_MT)*(1+FPE_MT)</f>
        <v>2.9853222018596166</v>
      </c>
      <c r="N31" s="17">
        <f>'DADOS-Campanha'!N72*FS_BT*(1+IPNT_BT)*(1+FPE_BT)</f>
        <v>11.162208820494129</v>
      </c>
      <c r="O31" s="79">
        <f t="shared" si="0"/>
        <v>14.147531022353746</v>
      </c>
    </row>
    <row r="32" spans="1:15" x14ac:dyDescent="0.2">
      <c r="A32" s="77">
        <f t="shared" si="1"/>
        <v>14.253047547873837</v>
      </c>
      <c r="B32" s="19">
        <v>0.23958333333333334</v>
      </c>
      <c r="C32" s="19">
        <v>0.25</v>
      </c>
      <c r="D32" s="20">
        <v>24</v>
      </c>
      <c r="E32" s="58" t="str">
        <f>'DADOS-Campanha'!E73</f>
        <v>FP</v>
      </c>
      <c r="F32" s="17">
        <f>'DADOS-Campanha'!F73</f>
        <v>0</v>
      </c>
      <c r="G32" s="17">
        <f>'DADOS-Campanha'!G73</f>
        <v>0</v>
      </c>
      <c r="H32" s="17">
        <f>'DADOS-Campanha'!H73</f>
        <v>1.8768169980473217</v>
      </c>
      <c r="I32" s="17">
        <f>'DADOS-Campanha'!I73</f>
        <v>9.1047154087287012</v>
      </c>
      <c r="J32" s="85"/>
      <c r="K32" s="17">
        <f>'DADOS-Campanha'!K73*FS_AT2*(1+IPNT_AT2)*(1+FPE_AT2)</f>
        <v>0</v>
      </c>
      <c r="L32" s="17">
        <f>'DADOS-Campanha'!L73*FS_AT3*(1+IPNT_AT3)*(1+FPE_AT3)</f>
        <v>0</v>
      </c>
      <c r="M32" s="17">
        <f>'DADOS-Campanha'!M73*FS_MT*(1+IPNT_MT)*(1+FPE_MT)</f>
        <v>2.9908113738445121</v>
      </c>
      <c r="N32" s="17">
        <f>'DADOS-Campanha'!N73*FS_BT*(1+IPNT_BT)*(1+FPE_BT)</f>
        <v>11.262236174029326</v>
      </c>
      <c r="O32" s="79">
        <f t="shared" si="0"/>
        <v>14.253047547873837</v>
      </c>
    </row>
    <row r="33" spans="1:15" x14ac:dyDescent="0.2">
      <c r="A33" s="77">
        <f t="shared" si="1"/>
        <v>15.214806571279912</v>
      </c>
      <c r="B33" s="19">
        <v>0.25</v>
      </c>
      <c r="C33" s="19">
        <v>0.26041666666666669</v>
      </c>
      <c r="D33" s="20">
        <v>25</v>
      </c>
      <c r="E33" s="58" t="str">
        <f>'DADOS-Campanha'!E74</f>
        <v>FP</v>
      </c>
      <c r="F33" s="17">
        <f>'DADOS-Campanha'!F74</f>
        <v>0</v>
      </c>
      <c r="G33" s="17">
        <f>'DADOS-Campanha'!G74</f>
        <v>0</v>
      </c>
      <c r="H33" s="17">
        <f>'DADOS-Campanha'!H74</f>
        <v>2.2020730545551017</v>
      </c>
      <c r="I33" s="17">
        <f>'DADOS-Campanha'!I74</f>
        <v>9.3969378669641959</v>
      </c>
      <c r="J33" s="85"/>
      <c r="K33" s="17">
        <f>'DADOS-Campanha'!K74*FS_AT2*(1+IPNT_AT2)*(1+FPE_AT2)</f>
        <v>0</v>
      </c>
      <c r="L33" s="17">
        <f>'DADOS-Campanha'!L74*FS_AT3*(1+IPNT_AT3)*(1+FPE_AT3)</f>
        <v>0</v>
      </c>
      <c r="M33" s="17">
        <f>'DADOS-Campanha'!M74*FS_MT*(1+IPNT_MT)*(1+FPE_MT)</f>
        <v>3.301889284141525</v>
      </c>
      <c r="N33" s="17">
        <f>'DADOS-Campanha'!N74*FS_BT*(1+IPNT_BT)*(1+FPE_BT)</f>
        <v>11.912917287138386</v>
      </c>
      <c r="O33" s="79">
        <f t="shared" si="0"/>
        <v>15.214806571279912</v>
      </c>
    </row>
    <row r="34" spans="1:15" x14ac:dyDescent="0.2">
      <c r="A34" s="77">
        <f t="shared" si="1"/>
        <v>16.890761143119661</v>
      </c>
      <c r="B34" s="19">
        <v>0.26041666666666669</v>
      </c>
      <c r="C34" s="19">
        <v>0.27083333333333331</v>
      </c>
      <c r="D34" s="20">
        <v>26</v>
      </c>
      <c r="E34" s="58" t="str">
        <f>'DADOS-Campanha'!E75</f>
        <v>FP</v>
      </c>
      <c r="F34" s="17">
        <f>'DADOS-Campanha'!F75</f>
        <v>0</v>
      </c>
      <c r="G34" s="17">
        <f>'DADOS-Campanha'!G75</f>
        <v>0</v>
      </c>
      <c r="H34" s="17">
        <f>'DADOS-Campanha'!H75</f>
        <v>2.469392125566662</v>
      </c>
      <c r="I34" s="17">
        <f>'DADOS-Campanha'!I75</f>
        <v>10.655922219785239</v>
      </c>
      <c r="J34" s="85"/>
      <c r="K34" s="17">
        <f>'DADOS-Campanha'!K75*FS_AT2*(1+IPNT_AT2)*(1+FPE_AT2)</f>
        <v>0</v>
      </c>
      <c r="L34" s="17">
        <f>'DADOS-Campanha'!L75*FS_AT3*(1+IPNT_AT3)*(1+FPE_AT3)</f>
        <v>0</v>
      </c>
      <c r="M34" s="17">
        <f>'DADOS-Campanha'!M75*FS_MT*(1+IPNT_MT)*(1+FPE_MT)</f>
        <v>3.2996268204310586</v>
      </c>
      <c r="N34" s="17">
        <f>'DADOS-Campanha'!N75*FS_BT*(1+IPNT_BT)*(1+FPE_BT)</f>
        <v>13.591134322688601</v>
      </c>
      <c r="O34" s="79">
        <f t="shared" si="0"/>
        <v>16.890761143119661</v>
      </c>
    </row>
    <row r="35" spans="1:15" x14ac:dyDescent="0.2">
      <c r="A35" s="77">
        <f t="shared" si="1"/>
        <v>20.239763579883608</v>
      </c>
      <c r="B35" s="19">
        <v>0.27083333333333331</v>
      </c>
      <c r="C35" s="19">
        <v>0.28125</v>
      </c>
      <c r="D35" s="20">
        <v>27</v>
      </c>
      <c r="E35" s="58" t="str">
        <f>'DADOS-Campanha'!E76</f>
        <v>FP</v>
      </c>
      <c r="F35" s="17">
        <f>'DADOS-Campanha'!F76</f>
        <v>0</v>
      </c>
      <c r="G35" s="17">
        <f>'DADOS-Campanha'!G76</f>
        <v>0</v>
      </c>
      <c r="H35" s="17">
        <f>'DADOS-Campanha'!H76</f>
        <v>2.6964140410514732</v>
      </c>
      <c r="I35" s="17">
        <f>'DADOS-Campanha'!I76</f>
        <v>10.832996308531065</v>
      </c>
      <c r="J35" s="85"/>
      <c r="K35" s="17">
        <f>'DADOS-Campanha'!K76*FS_AT2*(1+IPNT_AT2)*(1+FPE_AT2)</f>
        <v>0</v>
      </c>
      <c r="L35" s="17">
        <f>'DADOS-Campanha'!L76*FS_AT3*(1+IPNT_AT3)*(1+FPE_AT3)</f>
        <v>0</v>
      </c>
      <c r="M35" s="17">
        <f>'DADOS-Campanha'!M76*FS_MT*(1+IPNT_MT)*(1+FPE_MT)</f>
        <v>3.4674947170428911</v>
      </c>
      <c r="N35" s="17">
        <f>'DADOS-Campanha'!N76*FS_BT*(1+IPNT_BT)*(1+FPE_BT)</f>
        <v>16.772268862840715</v>
      </c>
      <c r="O35" s="79">
        <f t="shared" si="0"/>
        <v>20.239763579883608</v>
      </c>
    </row>
    <row r="36" spans="1:15" x14ac:dyDescent="0.2">
      <c r="A36" s="77">
        <f t="shared" si="1"/>
        <v>19.174852899956917</v>
      </c>
      <c r="B36" s="19">
        <v>0.28125</v>
      </c>
      <c r="C36" s="19">
        <v>0.29166666666666669</v>
      </c>
      <c r="D36" s="20">
        <v>28</v>
      </c>
      <c r="E36" s="58" t="str">
        <f>'DADOS-Campanha'!E77</f>
        <v>FP</v>
      </c>
      <c r="F36" s="17">
        <f>'DADOS-Campanha'!F77</f>
        <v>0</v>
      </c>
      <c r="G36" s="17">
        <f>'DADOS-Campanha'!G77</f>
        <v>0</v>
      </c>
      <c r="H36" s="17">
        <f>'DADOS-Campanha'!H77</f>
        <v>2.7196413387614395</v>
      </c>
      <c r="I36" s="17">
        <f>'DADOS-Campanha'!I77</f>
        <v>10.453863319920885</v>
      </c>
      <c r="J36" s="85"/>
      <c r="K36" s="17">
        <f>'DADOS-Campanha'!K77*FS_AT2*(1+IPNT_AT2)*(1+FPE_AT2)</f>
        <v>0</v>
      </c>
      <c r="L36" s="17">
        <f>'DADOS-Campanha'!L77*FS_AT3*(1+IPNT_AT3)*(1+FPE_AT3)</f>
        <v>0</v>
      </c>
      <c r="M36" s="17">
        <f>'DADOS-Campanha'!M77*FS_MT*(1+IPNT_MT)*(1+FPE_MT)</f>
        <v>3.5807486664604866</v>
      </c>
      <c r="N36" s="17">
        <f>'DADOS-Campanha'!N77*FS_BT*(1+IPNT_BT)*(1+FPE_BT)</f>
        <v>15.594104233496431</v>
      </c>
      <c r="O36" s="79">
        <f t="shared" si="0"/>
        <v>19.174852899956917</v>
      </c>
    </row>
    <row r="37" spans="1:15" x14ac:dyDescent="0.2">
      <c r="A37" s="77">
        <f t="shared" si="1"/>
        <v>17.717778699371266</v>
      </c>
      <c r="B37" s="19">
        <v>0.29166666666666669</v>
      </c>
      <c r="C37" s="19">
        <v>0.30208333333333331</v>
      </c>
      <c r="D37" s="20">
        <v>29</v>
      </c>
      <c r="E37" s="58" t="str">
        <f>'DADOS-Campanha'!E78</f>
        <v>FP</v>
      </c>
      <c r="F37" s="17">
        <f>'DADOS-Campanha'!F78</f>
        <v>0</v>
      </c>
      <c r="G37" s="17">
        <f>'DADOS-Campanha'!G78</f>
        <v>0</v>
      </c>
      <c r="H37" s="17">
        <f>'DADOS-Campanha'!H78</f>
        <v>2.8926884840169182</v>
      </c>
      <c r="I37" s="17">
        <f>'DADOS-Campanha'!I78</f>
        <v>10.435621268196744</v>
      </c>
      <c r="J37" s="85"/>
      <c r="K37" s="17">
        <f>'DADOS-Campanha'!K78*FS_AT2*(1+IPNT_AT2)*(1+FPE_AT2)</f>
        <v>0</v>
      </c>
      <c r="L37" s="17">
        <f>'DADOS-Campanha'!L78*FS_AT3*(1+IPNT_AT3)*(1+FPE_AT3)</f>
        <v>0</v>
      </c>
      <c r="M37" s="17">
        <f>'DADOS-Campanha'!M78*FS_MT*(1+IPNT_MT)*(1+FPE_MT)</f>
        <v>4.056174047294733</v>
      </c>
      <c r="N37" s="17">
        <f>'DADOS-Campanha'!N78*FS_BT*(1+IPNT_BT)*(1+FPE_BT)</f>
        <v>13.661604652076532</v>
      </c>
      <c r="O37" s="79">
        <f t="shared" si="0"/>
        <v>17.717778699371266</v>
      </c>
    </row>
    <row r="38" spans="1:15" x14ac:dyDescent="0.2">
      <c r="A38" s="77">
        <f t="shared" si="1"/>
        <v>19.239601415170291</v>
      </c>
      <c r="B38" s="19">
        <v>0.30208333333333331</v>
      </c>
      <c r="C38" s="19">
        <v>0.3125</v>
      </c>
      <c r="D38" s="20">
        <v>30</v>
      </c>
      <c r="E38" s="58" t="str">
        <f>'DADOS-Campanha'!E79</f>
        <v>FP</v>
      </c>
      <c r="F38" s="17">
        <f>'DADOS-Campanha'!F79</f>
        <v>0</v>
      </c>
      <c r="G38" s="17">
        <f>'DADOS-Campanha'!G79</f>
        <v>0</v>
      </c>
      <c r="H38" s="17">
        <f>'DADOS-Campanha'!H79</f>
        <v>2.9522195206442241</v>
      </c>
      <c r="I38" s="17">
        <f>'DADOS-Campanha'!I79</f>
        <v>10.880466737354361</v>
      </c>
      <c r="J38" s="85"/>
      <c r="K38" s="17">
        <f>'DADOS-Campanha'!K79*FS_AT2*(1+IPNT_AT2)*(1+FPE_AT2)</f>
        <v>0</v>
      </c>
      <c r="L38" s="17">
        <f>'DADOS-Campanha'!L79*FS_AT3*(1+IPNT_AT3)*(1+FPE_AT3)</f>
        <v>0</v>
      </c>
      <c r="M38" s="17">
        <f>'DADOS-Campanha'!M79*FS_MT*(1+IPNT_MT)*(1+FPE_MT)</f>
        <v>4.3096467713306765</v>
      </c>
      <c r="N38" s="17">
        <f>'DADOS-Campanha'!N79*FS_BT*(1+IPNT_BT)*(1+FPE_BT)</f>
        <v>14.929954643839617</v>
      </c>
      <c r="O38" s="79">
        <f t="shared" si="0"/>
        <v>19.239601415170291</v>
      </c>
    </row>
    <row r="39" spans="1:15" x14ac:dyDescent="0.2">
      <c r="A39" s="77">
        <f t="shared" si="1"/>
        <v>18.100955723979126</v>
      </c>
      <c r="B39" s="19">
        <v>0.3125</v>
      </c>
      <c r="C39" s="19">
        <v>0.32291666666666669</v>
      </c>
      <c r="D39" s="20">
        <v>31</v>
      </c>
      <c r="E39" s="58" t="str">
        <f>'DADOS-Campanha'!E80</f>
        <v>FP</v>
      </c>
      <c r="F39" s="17">
        <f>'DADOS-Campanha'!F80</f>
        <v>0</v>
      </c>
      <c r="G39" s="17">
        <f>'DADOS-Campanha'!G80</f>
        <v>0</v>
      </c>
      <c r="H39" s="17">
        <f>'DADOS-Campanha'!H80</f>
        <v>2.9504317488438128</v>
      </c>
      <c r="I39" s="17">
        <f>'DADOS-Campanha'!I80</f>
        <v>10.254155564259468</v>
      </c>
      <c r="J39" s="85"/>
      <c r="K39" s="17">
        <f>'DADOS-Campanha'!K80*FS_AT2*(1+IPNT_AT2)*(1+FPE_AT2)</f>
        <v>0</v>
      </c>
      <c r="L39" s="17">
        <f>'DADOS-Campanha'!L80*FS_AT3*(1+IPNT_AT3)*(1+FPE_AT3)</f>
        <v>0</v>
      </c>
      <c r="M39" s="17">
        <f>'DADOS-Campanha'!M80*FS_MT*(1+IPNT_MT)*(1+FPE_MT)</f>
        <v>4.6057101006857355</v>
      </c>
      <c r="N39" s="17">
        <f>'DADOS-Campanha'!N80*FS_BT*(1+IPNT_BT)*(1+FPE_BT)</f>
        <v>13.495245623293389</v>
      </c>
      <c r="O39" s="79">
        <f t="shared" si="0"/>
        <v>18.100955723979126</v>
      </c>
    </row>
    <row r="40" spans="1:15" x14ac:dyDescent="0.2">
      <c r="A40" s="77">
        <f t="shared" si="1"/>
        <v>19.472864755696762</v>
      </c>
      <c r="B40" s="19">
        <v>0.32291666666666669</v>
      </c>
      <c r="C40" s="19">
        <v>0.33333333333333331</v>
      </c>
      <c r="D40" s="20">
        <v>32</v>
      </c>
      <c r="E40" s="58" t="str">
        <f>'DADOS-Campanha'!E81</f>
        <v>FP</v>
      </c>
      <c r="F40" s="17">
        <f>'DADOS-Campanha'!F81</f>
        <v>0</v>
      </c>
      <c r="G40" s="17">
        <f>'DADOS-Campanha'!G81</f>
        <v>0</v>
      </c>
      <c r="H40" s="17">
        <f>'DADOS-Campanha'!H81</f>
        <v>2.9874485598092426</v>
      </c>
      <c r="I40" s="17">
        <f>'DADOS-Campanha'!I81</f>
        <v>9.8928605330248711</v>
      </c>
      <c r="J40" s="85"/>
      <c r="K40" s="17">
        <f>'DADOS-Campanha'!K81*FS_AT2*(1+IPNT_AT2)*(1+FPE_AT2)</f>
        <v>0</v>
      </c>
      <c r="L40" s="17">
        <f>'DADOS-Campanha'!L81*FS_AT3*(1+IPNT_AT3)*(1+FPE_AT3)</f>
        <v>0</v>
      </c>
      <c r="M40" s="17">
        <f>'DADOS-Campanha'!M81*FS_MT*(1+IPNT_MT)*(1+FPE_MT)</f>
        <v>4.7964935091367336</v>
      </c>
      <c r="N40" s="17">
        <f>'DADOS-Campanha'!N81*FS_BT*(1+IPNT_BT)*(1+FPE_BT)</f>
        <v>14.676371246560029</v>
      </c>
      <c r="O40" s="79">
        <f t="shared" si="0"/>
        <v>19.472864755696762</v>
      </c>
    </row>
    <row r="41" spans="1:15" x14ac:dyDescent="0.2">
      <c r="A41" s="77">
        <f t="shared" si="1"/>
        <v>21.57739241212925</v>
      </c>
      <c r="B41" s="19">
        <v>0.33333333333333331</v>
      </c>
      <c r="C41" s="19">
        <v>0.34375</v>
      </c>
      <c r="D41" s="20">
        <v>33</v>
      </c>
      <c r="E41" s="58" t="str">
        <f>'DADOS-Campanha'!E82</f>
        <v>FP</v>
      </c>
      <c r="F41" s="17">
        <f>'DADOS-Campanha'!F82</f>
        <v>0</v>
      </c>
      <c r="G41" s="17">
        <f>'DADOS-Campanha'!G82</f>
        <v>0</v>
      </c>
      <c r="H41" s="17">
        <f>'DADOS-Campanha'!H82</f>
        <v>3.9990084583635146</v>
      </c>
      <c r="I41" s="17">
        <f>'DADOS-Campanha'!I82</f>
        <v>10.036143622231025</v>
      </c>
      <c r="J41" s="85"/>
      <c r="K41" s="17">
        <f>'DADOS-Campanha'!K82*FS_AT2*(1+IPNT_AT2)*(1+FPE_AT2)</f>
        <v>0</v>
      </c>
      <c r="L41" s="17">
        <f>'DADOS-Campanha'!L82*FS_AT3*(1+IPNT_AT3)*(1+FPE_AT3)</f>
        <v>0</v>
      </c>
      <c r="M41" s="17">
        <f>'DADOS-Campanha'!M82*FS_MT*(1+IPNT_MT)*(1+FPE_MT)</f>
        <v>5.0674936474371455</v>
      </c>
      <c r="N41" s="17">
        <f>'DADOS-Campanha'!N82*FS_BT*(1+IPNT_BT)*(1+FPE_BT)</f>
        <v>16.509898764692103</v>
      </c>
      <c r="O41" s="79">
        <f t="shared" si="0"/>
        <v>21.57739241212925</v>
      </c>
    </row>
    <row r="42" spans="1:15" x14ac:dyDescent="0.2">
      <c r="A42" s="77">
        <f t="shared" si="1"/>
        <v>19.477591529872512</v>
      </c>
      <c r="B42" s="19">
        <v>0.34375</v>
      </c>
      <c r="C42" s="19">
        <v>0.35416666666666669</v>
      </c>
      <c r="D42" s="20">
        <v>34</v>
      </c>
      <c r="E42" s="58" t="str">
        <f>'DADOS-Campanha'!E83</f>
        <v>FP</v>
      </c>
      <c r="F42" s="17">
        <f>'DADOS-Campanha'!F83</f>
        <v>0</v>
      </c>
      <c r="G42" s="17">
        <f>'DADOS-Campanha'!G83</f>
        <v>0</v>
      </c>
      <c r="H42" s="17">
        <f>'DADOS-Campanha'!H83</f>
        <v>4.2225630580542051</v>
      </c>
      <c r="I42" s="17">
        <f>'DADOS-Campanha'!I83</f>
        <v>10.871329109378719</v>
      </c>
      <c r="J42" s="85"/>
      <c r="K42" s="17">
        <f>'DADOS-Campanha'!K83*FS_AT2*(1+IPNT_AT2)*(1+FPE_AT2)</f>
        <v>0</v>
      </c>
      <c r="L42" s="17">
        <f>'DADOS-Campanha'!L83*FS_AT3*(1+IPNT_AT3)*(1+FPE_AT3)</f>
        <v>0</v>
      </c>
      <c r="M42" s="17">
        <f>'DADOS-Campanha'!M83*FS_MT*(1+IPNT_MT)*(1+FPE_MT)</f>
        <v>5.3551523265900096</v>
      </c>
      <c r="N42" s="17">
        <f>'DADOS-Campanha'!N83*FS_BT*(1+IPNT_BT)*(1+FPE_BT)</f>
        <v>14.122439203282502</v>
      </c>
      <c r="O42" s="79">
        <f t="shared" si="0"/>
        <v>19.477591529872512</v>
      </c>
    </row>
    <row r="43" spans="1:15" x14ac:dyDescent="0.2">
      <c r="A43" s="77">
        <f t="shared" si="1"/>
        <v>22.153748457017304</v>
      </c>
      <c r="B43" s="19">
        <v>0.35416666666666669</v>
      </c>
      <c r="C43" s="19">
        <v>0.36458333333333331</v>
      </c>
      <c r="D43" s="20">
        <v>35</v>
      </c>
      <c r="E43" s="58" t="str">
        <f>'DADOS-Campanha'!E84</f>
        <v>FP</v>
      </c>
      <c r="F43" s="17">
        <f>'DADOS-Campanha'!F84</f>
        <v>0</v>
      </c>
      <c r="G43" s="17">
        <f>'DADOS-Campanha'!G84</f>
        <v>0</v>
      </c>
      <c r="H43" s="17">
        <f>'DADOS-Campanha'!H84</f>
        <v>4.2454363063746339</v>
      </c>
      <c r="I43" s="17">
        <f>'DADOS-Campanha'!I84</f>
        <v>10.624454584674302</v>
      </c>
      <c r="J43" s="85"/>
      <c r="K43" s="17">
        <f>'DADOS-Campanha'!K84*FS_AT2*(1+IPNT_AT2)*(1+FPE_AT2)</f>
        <v>0</v>
      </c>
      <c r="L43" s="17">
        <f>'DADOS-Campanha'!L84*FS_AT3*(1+IPNT_AT3)*(1+FPE_AT3)</f>
        <v>0</v>
      </c>
      <c r="M43" s="17">
        <f>'DADOS-Campanha'!M84*FS_MT*(1+IPNT_MT)*(1+FPE_MT)</f>
        <v>5.4799483776361804</v>
      </c>
      <c r="N43" s="17">
        <f>'DADOS-Campanha'!N84*FS_BT*(1+IPNT_BT)*(1+FPE_BT)</f>
        <v>16.673800079381124</v>
      </c>
      <c r="O43" s="79">
        <f t="shared" si="0"/>
        <v>22.153748457017304</v>
      </c>
    </row>
    <row r="44" spans="1:15" x14ac:dyDescent="0.2">
      <c r="A44" s="77">
        <f t="shared" si="1"/>
        <v>20.779708515257763</v>
      </c>
      <c r="B44" s="19">
        <v>0.36458333333333331</v>
      </c>
      <c r="C44" s="19">
        <v>0.375</v>
      </c>
      <c r="D44" s="20">
        <v>36</v>
      </c>
      <c r="E44" s="58" t="str">
        <f>'DADOS-Campanha'!E85</f>
        <v>FP</v>
      </c>
      <c r="F44" s="17">
        <f>'DADOS-Campanha'!F85</f>
        <v>0</v>
      </c>
      <c r="G44" s="17">
        <f>'DADOS-Campanha'!G85</f>
        <v>0</v>
      </c>
      <c r="H44" s="17">
        <f>'DADOS-Campanha'!H85</f>
        <v>4.1847329399877591</v>
      </c>
      <c r="I44" s="17">
        <f>'DADOS-Campanha'!I85</f>
        <v>10.82306402559445</v>
      </c>
      <c r="J44" s="85"/>
      <c r="K44" s="17">
        <f>'DADOS-Campanha'!K85*FS_AT2*(1+IPNT_AT2)*(1+FPE_AT2)</f>
        <v>0</v>
      </c>
      <c r="L44" s="17">
        <f>'DADOS-Campanha'!L85*FS_AT3*(1+IPNT_AT3)*(1+FPE_AT3)</f>
        <v>0</v>
      </c>
      <c r="M44" s="17">
        <f>'DADOS-Campanha'!M85*FS_MT*(1+IPNT_MT)*(1+FPE_MT)</f>
        <v>5.4323207505362303</v>
      </c>
      <c r="N44" s="17">
        <f>'DADOS-Campanha'!N85*FS_BT*(1+IPNT_BT)*(1+FPE_BT)</f>
        <v>15.347387764721532</v>
      </c>
      <c r="O44" s="79">
        <f t="shared" si="0"/>
        <v>20.779708515257763</v>
      </c>
    </row>
    <row r="45" spans="1:15" x14ac:dyDescent="0.2">
      <c r="A45" s="77">
        <f t="shared" si="1"/>
        <v>21.733192447325106</v>
      </c>
      <c r="B45" s="19">
        <v>0.375</v>
      </c>
      <c r="C45" s="19">
        <v>0.38541666666666669</v>
      </c>
      <c r="D45" s="20">
        <v>37</v>
      </c>
      <c r="E45" s="58" t="str">
        <f>'DADOS-Campanha'!E86</f>
        <v>FP</v>
      </c>
      <c r="F45" s="17">
        <f>'DADOS-Campanha'!F86</f>
        <v>0</v>
      </c>
      <c r="G45" s="17">
        <f>'DADOS-Campanha'!G86</f>
        <v>0</v>
      </c>
      <c r="H45" s="17">
        <f>'DADOS-Campanha'!H86</f>
        <v>4.1605665233117675</v>
      </c>
      <c r="I45" s="17">
        <f>'DADOS-Campanha'!I86</f>
        <v>10.402960746568862</v>
      </c>
      <c r="J45" s="85"/>
      <c r="K45" s="17">
        <f>'DADOS-Campanha'!K86*FS_AT2*(1+IPNT_AT2)*(1+FPE_AT2)</f>
        <v>0</v>
      </c>
      <c r="L45" s="17">
        <f>'DADOS-Campanha'!L86*FS_AT3*(1+IPNT_AT3)*(1+FPE_AT3)</f>
        <v>0</v>
      </c>
      <c r="M45" s="17">
        <f>'DADOS-Campanha'!M86*FS_MT*(1+IPNT_MT)*(1+FPE_MT)</f>
        <v>5.3918481606389044</v>
      </c>
      <c r="N45" s="17">
        <f>'DADOS-Campanha'!N86*FS_BT*(1+IPNT_BT)*(1+FPE_BT)</f>
        <v>16.341344286686201</v>
      </c>
      <c r="O45" s="79">
        <f t="shared" si="0"/>
        <v>21.733192447325106</v>
      </c>
    </row>
    <row r="46" spans="1:15" x14ac:dyDescent="0.2">
      <c r="A46" s="77">
        <f t="shared" si="1"/>
        <v>23.951615709985347</v>
      </c>
      <c r="B46" s="19">
        <v>0.38541666666666669</v>
      </c>
      <c r="C46" s="19">
        <v>0.39583333333333331</v>
      </c>
      <c r="D46" s="20">
        <v>38</v>
      </c>
      <c r="E46" s="58" t="str">
        <f>'DADOS-Campanha'!E87</f>
        <v>FP</v>
      </c>
      <c r="F46" s="17">
        <f>'DADOS-Campanha'!F87</f>
        <v>0</v>
      </c>
      <c r="G46" s="17">
        <f>'DADOS-Campanha'!G87</f>
        <v>0</v>
      </c>
      <c r="H46" s="17">
        <f>'DADOS-Campanha'!H87</f>
        <v>4.2192140350159857</v>
      </c>
      <c r="I46" s="17">
        <f>'DADOS-Campanha'!I87</f>
        <v>10.692855730941572</v>
      </c>
      <c r="J46" s="85"/>
      <c r="K46" s="17">
        <f>'DADOS-Campanha'!K87*FS_AT2*(1+IPNT_AT2)*(1+FPE_AT2)</f>
        <v>0</v>
      </c>
      <c r="L46" s="17">
        <f>'DADOS-Campanha'!L87*FS_AT3*(1+IPNT_AT3)*(1+FPE_AT3)</f>
        <v>0</v>
      </c>
      <c r="M46" s="17">
        <f>'DADOS-Campanha'!M87*FS_MT*(1+IPNT_MT)*(1+FPE_MT)</f>
        <v>5.4229614553984575</v>
      </c>
      <c r="N46" s="17">
        <f>'DADOS-Campanha'!N87*FS_BT*(1+IPNT_BT)*(1+FPE_BT)</f>
        <v>18.52865425458689</v>
      </c>
      <c r="O46" s="79">
        <f t="shared" si="0"/>
        <v>23.951615709985347</v>
      </c>
    </row>
    <row r="47" spans="1:15" x14ac:dyDescent="0.2">
      <c r="A47" s="77">
        <f t="shared" si="1"/>
        <v>22.686258519339322</v>
      </c>
      <c r="B47" s="19">
        <v>0.39583333333333331</v>
      </c>
      <c r="C47" s="19">
        <v>0.40625</v>
      </c>
      <c r="D47" s="20">
        <v>39</v>
      </c>
      <c r="E47" s="58" t="str">
        <f>'DADOS-Campanha'!E88</f>
        <v>FP</v>
      </c>
      <c r="F47" s="17">
        <f>'DADOS-Campanha'!F88</f>
        <v>0</v>
      </c>
      <c r="G47" s="17">
        <f>'DADOS-Campanha'!G88</f>
        <v>0</v>
      </c>
      <c r="H47" s="17">
        <f>'DADOS-Campanha'!H88</f>
        <v>4.176839059535089</v>
      </c>
      <c r="I47" s="17">
        <f>'DADOS-Campanha'!I88</f>
        <v>11.143750944534855</v>
      </c>
      <c r="J47" s="85"/>
      <c r="K47" s="17">
        <f>'DADOS-Campanha'!K88*FS_AT2*(1+IPNT_AT2)*(1+FPE_AT2)</f>
        <v>0</v>
      </c>
      <c r="L47" s="17">
        <f>'DADOS-Campanha'!L88*FS_AT3*(1+IPNT_AT3)*(1+FPE_AT3)</f>
        <v>0</v>
      </c>
      <c r="M47" s="17">
        <f>'DADOS-Campanha'!M88*FS_MT*(1+IPNT_MT)*(1+FPE_MT)</f>
        <v>5.4430747235307066</v>
      </c>
      <c r="N47" s="17">
        <f>'DADOS-Campanha'!N88*FS_BT*(1+IPNT_BT)*(1+FPE_BT)</f>
        <v>17.243183795808616</v>
      </c>
      <c r="O47" s="79">
        <f t="shared" si="0"/>
        <v>22.686258519339322</v>
      </c>
    </row>
    <row r="48" spans="1:15" x14ac:dyDescent="0.2">
      <c r="A48" s="77">
        <f t="shared" si="1"/>
        <v>22.890192584350672</v>
      </c>
      <c r="B48" s="19">
        <v>0.40625</v>
      </c>
      <c r="C48" s="19">
        <v>0.41666666666666669</v>
      </c>
      <c r="D48" s="20">
        <v>40</v>
      </c>
      <c r="E48" s="58" t="str">
        <f>'DADOS-Campanha'!E89</f>
        <v>FP</v>
      </c>
      <c r="F48" s="17">
        <f>'DADOS-Campanha'!F89</f>
        <v>0</v>
      </c>
      <c r="G48" s="17">
        <f>'DADOS-Campanha'!G89</f>
        <v>0</v>
      </c>
      <c r="H48" s="17">
        <f>'DADOS-Campanha'!H89</f>
        <v>4.3932570181865165</v>
      </c>
      <c r="I48" s="17">
        <f>'DADOS-Campanha'!I89</f>
        <v>11.036478004049519</v>
      </c>
      <c r="J48" s="85"/>
      <c r="K48" s="17">
        <f>'DADOS-Campanha'!K89*FS_AT2*(1+IPNT_AT2)*(1+FPE_AT2)</f>
        <v>0</v>
      </c>
      <c r="L48" s="17">
        <f>'DADOS-Campanha'!L89*FS_AT3*(1+IPNT_AT3)*(1+FPE_AT3)</f>
        <v>0</v>
      </c>
      <c r="M48" s="17">
        <f>'DADOS-Campanha'!M89*FS_MT*(1+IPNT_MT)*(1+FPE_MT)</f>
        <v>5.4915178823074271</v>
      </c>
      <c r="N48" s="17">
        <f>'DADOS-Campanha'!N89*FS_BT*(1+IPNT_BT)*(1+FPE_BT)</f>
        <v>17.398674702043245</v>
      </c>
      <c r="O48" s="79">
        <f t="shared" si="0"/>
        <v>22.890192584350672</v>
      </c>
    </row>
    <row r="49" spans="1:15" x14ac:dyDescent="0.2">
      <c r="A49" s="77">
        <f t="shared" si="1"/>
        <v>23.410030065440598</v>
      </c>
      <c r="B49" s="19">
        <v>0.41666666666666669</v>
      </c>
      <c r="C49" s="19">
        <v>0.42708333333333331</v>
      </c>
      <c r="D49" s="20">
        <v>41</v>
      </c>
      <c r="E49" s="58" t="str">
        <f>'DADOS-Campanha'!E90</f>
        <v>FP</v>
      </c>
      <c r="F49" s="17">
        <f>'DADOS-Campanha'!F90</f>
        <v>0</v>
      </c>
      <c r="G49" s="17">
        <f>'DADOS-Campanha'!G90</f>
        <v>0</v>
      </c>
      <c r="H49" s="17">
        <f>'DADOS-Campanha'!H90</f>
        <v>4.4365595083390659</v>
      </c>
      <c r="I49" s="17">
        <f>'DADOS-Campanha'!I90</f>
        <v>11.221816657808292</v>
      </c>
      <c r="J49" s="85"/>
      <c r="K49" s="17">
        <f>'DADOS-Campanha'!K90*FS_AT2*(1+IPNT_AT2)*(1+FPE_AT2)</f>
        <v>0</v>
      </c>
      <c r="L49" s="17">
        <f>'DADOS-Campanha'!L90*FS_AT3*(1+IPNT_AT3)*(1+FPE_AT3)</f>
        <v>0</v>
      </c>
      <c r="M49" s="17">
        <f>'DADOS-Campanha'!M90*FS_MT*(1+IPNT_MT)*(1+FPE_MT)</f>
        <v>5.611396757067193</v>
      </c>
      <c r="N49" s="17">
        <f>'DADOS-Campanha'!N90*FS_BT*(1+IPNT_BT)*(1+FPE_BT)</f>
        <v>17.798633308373404</v>
      </c>
      <c r="O49" s="79">
        <f t="shared" si="0"/>
        <v>23.410030065440598</v>
      </c>
    </row>
    <row r="50" spans="1:15" x14ac:dyDescent="0.2">
      <c r="A50" s="77">
        <f t="shared" si="1"/>
        <v>24.038272371750811</v>
      </c>
      <c r="B50" s="19">
        <v>0.42708333333333331</v>
      </c>
      <c r="C50" s="19">
        <v>0.4375</v>
      </c>
      <c r="D50" s="20">
        <v>42</v>
      </c>
      <c r="E50" s="58" t="str">
        <f>'DADOS-Campanha'!E91</f>
        <v>FP</v>
      </c>
      <c r="F50" s="17">
        <f>'DADOS-Campanha'!F91</f>
        <v>0</v>
      </c>
      <c r="G50" s="17">
        <f>'DADOS-Campanha'!G91</f>
        <v>0</v>
      </c>
      <c r="H50" s="17">
        <f>'DADOS-Campanha'!H91</f>
        <v>4.5003569585214596</v>
      </c>
      <c r="I50" s="17">
        <f>'DADOS-Campanha'!I91</f>
        <v>11.278207078979777</v>
      </c>
      <c r="J50" s="85"/>
      <c r="K50" s="17">
        <f>'DADOS-Campanha'!K91*FS_AT2*(1+IPNT_AT2)*(1+FPE_AT2)</f>
        <v>0</v>
      </c>
      <c r="L50" s="17">
        <f>'DADOS-Campanha'!L91*FS_AT3*(1+IPNT_AT3)*(1+FPE_AT3)</f>
        <v>0</v>
      </c>
      <c r="M50" s="17">
        <f>'DADOS-Campanha'!M91*FS_MT*(1+IPNT_MT)*(1+FPE_MT)</f>
        <v>5.5992047751547895</v>
      </c>
      <c r="N50" s="17">
        <f>'DADOS-Campanha'!N91*FS_BT*(1+IPNT_BT)*(1+FPE_BT)</f>
        <v>18.439067596596022</v>
      </c>
      <c r="O50" s="79">
        <f t="shared" si="0"/>
        <v>24.038272371750811</v>
      </c>
    </row>
    <row r="51" spans="1:15" x14ac:dyDescent="0.2">
      <c r="A51" s="77">
        <f t="shared" si="1"/>
        <v>25.626750486041121</v>
      </c>
      <c r="B51" s="19">
        <v>0.4375</v>
      </c>
      <c r="C51" s="19">
        <v>0.44791666666666669</v>
      </c>
      <c r="D51" s="20">
        <v>43</v>
      </c>
      <c r="E51" s="58" t="str">
        <f>'DADOS-Campanha'!E92</f>
        <v>FP</v>
      </c>
      <c r="F51" s="17">
        <f>'DADOS-Campanha'!F92</f>
        <v>0</v>
      </c>
      <c r="G51" s="17">
        <f>'DADOS-Campanha'!G92</f>
        <v>0</v>
      </c>
      <c r="H51" s="17">
        <f>'DADOS-Campanha'!H92</f>
        <v>4.470773467774384</v>
      </c>
      <c r="I51" s="17">
        <f>'DADOS-Campanha'!I92</f>
        <v>11.827251905913254</v>
      </c>
      <c r="J51" s="85"/>
      <c r="K51" s="17">
        <f>'DADOS-Campanha'!K92*FS_AT2*(1+IPNT_AT2)*(1+FPE_AT2)</f>
        <v>0</v>
      </c>
      <c r="L51" s="17">
        <f>'DADOS-Campanha'!L92*FS_AT3*(1+IPNT_AT3)*(1+FPE_AT3)</f>
        <v>0</v>
      </c>
      <c r="M51" s="17">
        <f>'DADOS-Campanha'!M92*FS_MT*(1+IPNT_MT)*(1+FPE_MT)</f>
        <v>5.5883646024642113</v>
      </c>
      <c r="N51" s="17">
        <f>'DADOS-Campanha'!N92*FS_BT*(1+IPNT_BT)*(1+FPE_BT)</f>
        <v>20.038385883576911</v>
      </c>
      <c r="O51" s="79">
        <f t="shared" si="0"/>
        <v>25.626750486041121</v>
      </c>
    </row>
    <row r="52" spans="1:15" x14ac:dyDescent="0.2">
      <c r="A52" s="77">
        <f t="shared" si="1"/>
        <v>25.049224094215429</v>
      </c>
      <c r="B52" s="19">
        <v>0.44791666666666669</v>
      </c>
      <c r="C52" s="19">
        <v>0.45833333333333331</v>
      </c>
      <c r="D52" s="20">
        <v>44</v>
      </c>
      <c r="E52" s="58" t="str">
        <f>'DADOS-Campanha'!E93</f>
        <v>FP</v>
      </c>
      <c r="F52" s="17">
        <f>'DADOS-Campanha'!F93</f>
        <v>0</v>
      </c>
      <c r="G52" s="17">
        <f>'DADOS-Campanha'!G93</f>
        <v>0</v>
      </c>
      <c r="H52" s="17">
        <f>'DADOS-Campanha'!H93</f>
        <v>4.6414619809930109</v>
      </c>
      <c r="I52" s="17">
        <f>'DADOS-Campanha'!I93</f>
        <v>11.806128757370686</v>
      </c>
      <c r="J52" s="85"/>
      <c r="K52" s="17">
        <f>'DADOS-Campanha'!K93*FS_AT2*(1+IPNT_AT2)*(1+FPE_AT2)</f>
        <v>0</v>
      </c>
      <c r="L52" s="17">
        <f>'DADOS-Campanha'!L93*FS_AT3*(1+IPNT_AT3)*(1+FPE_AT3)</f>
        <v>0</v>
      </c>
      <c r="M52" s="17">
        <f>'DADOS-Campanha'!M93*FS_MT*(1+IPNT_MT)*(1+FPE_MT)</f>
        <v>5.5372779064148894</v>
      </c>
      <c r="N52" s="17">
        <f>'DADOS-Campanha'!N93*FS_BT*(1+IPNT_BT)*(1+FPE_BT)</f>
        <v>19.51194618780054</v>
      </c>
      <c r="O52" s="79">
        <f t="shared" si="0"/>
        <v>25.049224094215429</v>
      </c>
    </row>
    <row r="53" spans="1:15" x14ac:dyDescent="0.2">
      <c r="A53" s="77">
        <f t="shared" si="1"/>
        <v>24.785533381991598</v>
      </c>
      <c r="B53" s="19">
        <v>0.45833333333333331</v>
      </c>
      <c r="C53" s="19">
        <v>0.46875</v>
      </c>
      <c r="D53" s="20">
        <v>45</v>
      </c>
      <c r="E53" s="58" t="str">
        <f>'DADOS-Campanha'!E94</f>
        <v>FP</v>
      </c>
      <c r="F53" s="17">
        <f>'DADOS-Campanha'!F94</f>
        <v>0</v>
      </c>
      <c r="G53" s="17">
        <f>'DADOS-Campanha'!G94</f>
        <v>0</v>
      </c>
      <c r="H53" s="17">
        <f>'DADOS-Campanha'!H94</f>
        <v>4.0680607593181062</v>
      </c>
      <c r="I53" s="17">
        <f>'DADOS-Campanha'!I94</f>
        <v>12.366048790582381</v>
      </c>
      <c r="J53" s="85"/>
      <c r="K53" s="17">
        <f>'DADOS-Campanha'!K94*FS_AT2*(1+IPNT_AT2)*(1+FPE_AT2)</f>
        <v>0</v>
      </c>
      <c r="L53" s="17">
        <f>'DADOS-Campanha'!L94*FS_AT3*(1+IPNT_AT3)*(1+FPE_AT3)</f>
        <v>0</v>
      </c>
      <c r="M53" s="17">
        <f>'DADOS-Campanha'!M94*FS_MT*(1+IPNT_MT)*(1+FPE_MT)</f>
        <v>5.4520752700226689</v>
      </c>
      <c r="N53" s="17">
        <f>'DADOS-Campanha'!N94*FS_BT*(1+IPNT_BT)*(1+FPE_BT)</f>
        <v>19.33345811196893</v>
      </c>
      <c r="O53" s="79">
        <f t="shared" si="0"/>
        <v>24.785533381991598</v>
      </c>
    </row>
    <row r="54" spans="1:15" x14ac:dyDescent="0.2">
      <c r="A54" s="77">
        <f t="shared" si="1"/>
        <v>25.317838228483723</v>
      </c>
      <c r="B54" s="19">
        <v>0.46875</v>
      </c>
      <c r="C54" s="19">
        <v>0.47916666666666669</v>
      </c>
      <c r="D54" s="20">
        <v>46</v>
      </c>
      <c r="E54" s="58" t="str">
        <f>'DADOS-Campanha'!E95</f>
        <v>FP</v>
      </c>
      <c r="F54" s="17">
        <f>'DADOS-Campanha'!F95</f>
        <v>0</v>
      </c>
      <c r="G54" s="17">
        <f>'DADOS-Campanha'!G95</f>
        <v>0</v>
      </c>
      <c r="H54" s="17">
        <f>'DADOS-Campanha'!H95</f>
        <v>4.5273296014458264</v>
      </c>
      <c r="I54" s="17">
        <f>'DADOS-Campanha'!I95</f>
        <v>12.717182396837563</v>
      </c>
      <c r="J54" s="85"/>
      <c r="K54" s="17">
        <f>'DADOS-Campanha'!K95*FS_AT2*(1+IPNT_AT2)*(1+FPE_AT2)</f>
        <v>0</v>
      </c>
      <c r="L54" s="17">
        <f>'DADOS-Campanha'!L95*FS_AT3*(1+IPNT_AT3)*(1+FPE_AT3)</f>
        <v>0</v>
      </c>
      <c r="M54" s="17">
        <f>'DADOS-Campanha'!M95*FS_MT*(1+IPNT_MT)*(1+FPE_MT)</f>
        <v>5.4379632853621196</v>
      </c>
      <c r="N54" s="17">
        <f>'DADOS-Campanha'!N95*FS_BT*(1+IPNT_BT)*(1+FPE_BT)</f>
        <v>19.879874943121603</v>
      </c>
      <c r="O54" s="79">
        <f t="shared" si="0"/>
        <v>25.317838228483723</v>
      </c>
    </row>
    <row r="55" spans="1:15" x14ac:dyDescent="0.2">
      <c r="A55" s="77">
        <f t="shared" si="1"/>
        <v>25.017877087610056</v>
      </c>
      <c r="B55" s="19">
        <v>0.47916666666666669</v>
      </c>
      <c r="C55" s="19">
        <v>0.48958333333333331</v>
      </c>
      <c r="D55" s="20">
        <v>47</v>
      </c>
      <c r="E55" s="58" t="str">
        <f>'DADOS-Campanha'!E96</f>
        <v>FP</v>
      </c>
      <c r="F55" s="17">
        <f>'DADOS-Campanha'!F96</f>
        <v>0</v>
      </c>
      <c r="G55" s="17">
        <f>'DADOS-Campanha'!G96</f>
        <v>0</v>
      </c>
      <c r="H55" s="17">
        <f>'DADOS-Campanha'!H96</f>
        <v>4.9783891157718028</v>
      </c>
      <c r="I55" s="17">
        <f>'DADOS-Campanha'!I96</f>
        <v>12.546379961966268</v>
      </c>
      <c r="J55" s="85"/>
      <c r="K55" s="17">
        <f>'DADOS-Campanha'!K96*FS_AT2*(1+IPNT_AT2)*(1+FPE_AT2)</f>
        <v>0</v>
      </c>
      <c r="L55" s="17">
        <f>'DADOS-Campanha'!L96*FS_AT3*(1+IPNT_AT3)*(1+FPE_AT3)</f>
        <v>0</v>
      </c>
      <c r="M55" s="17">
        <f>'DADOS-Campanha'!M96*FS_MT*(1+IPNT_MT)*(1+FPE_MT)</f>
        <v>5.3300809403129144</v>
      </c>
      <c r="N55" s="17">
        <f>'DADOS-Campanha'!N96*FS_BT*(1+IPNT_BT)*(1+FPE_BT)</f>
        <v>19.687796147297142</v>
      </c>
      <c r="O55" s="79">
        <f t="shared" si="0"/>
        <v>25.017877087610056</v>
      </c>
    </row>
    <row r="56" spans="1:15" x14ac:dyDescent="0.2">
      <c r="A56" s="77">
        <f t="shared" si="1"/>
        <v>26.498136144212655</v>
      </c>
      <c r="B56" s="19">
        <v>0.48958333333333331</v>
      </c>
      <c r="C56" s="19">
        <v>0.5</v>
      </c>
      <c r="D56" s="20">
        <v>48</v>
      </c>
      <c r="E56" s="58" t="str">
        <f>'DADOS-Campanha'!E97</f>
        <v>FP</v>
      </c>
      <c r="F56" s="17">
        <f>'DADOS-Campanha'!F97</f>
        <v>0</v>
      </c>
      <c r="G56" s="17">
        <f>'DADOS-Campanha'!G97</f>
        <v>0</v>
      </c>
      <c r="H56" s="17">
        <f>'DADOS-Campanha'!H97</f>
        <v>5.4243785007462089</v>
      </c>
      <c r="I56" s="17">
        <f>'DADOS-Campanha'!I97</f>
        <v>12.533397437905601</v>
      </c>
      <c r="J56" s="85"/>
      <c r="K56" s="17">
        <f>'DADOS-Campanha'!K97*FS_AT2*(1+IPNT_AT2)*(1+FPE_AT2)</f>
        <v>0</v>
      </c>
      <c r="L56" s="17">
        <f>'DADOS-Campanha'!L97*FS_AT3*(1+IPNT_AT3)*(1+FPE_AT3)</f>
        <v>0</v>
      </c>
      <c r="M56" s="17">
        <f>'DADOS-Campanha'!M97*FS_MT*(1+IPNT_MT)*(1+FPE_MT)</f>
        <v>5.0900065914525827</v>
      </c>
      <c r="N56" s="17">
        <f>'DADOS-Campanha'!N97*FS_BT*(1+IPNT_BT)*(1+FPE_BT)</f>
        <v>21.408129552760073</v>
      </c>
      <c r="O56" s="79">
        <f t="shared" si="0"/>
        <v>26.498136144212655</v>
      </c>
    </row>
    <row r="57" spans="1:15" x14ac:dyDescent="0.2">
      <c r="A57" s="77">
        <f t="shared" si="1"/>
        <v>24.371361905789087</v>
      </c>
      <c r="B57" s="19">
        <v>0.5</v>
      </c>
      <c r="C57" s="19">
        <v>0.51041666666666663</v>
      </c>
      <c r="D57" s="20">
        <v>49</v>
      </c>
      <c r="E57" s="58" t="str">
        <f>'DADOS-Campanha'!E98</f>
        <v>FP</v>
      </c>
      <c r="F57" s="17">
        <f>'DADOS-Campanha'!F98</f>
        <v>0</v>
      </c>
      <c r="G57" s="17">
        <f>'DADOS-Campanha'!G98</f>
        <v>0</v>
      </c>
      <c r="H57" s="17">
        <f>'DADOS-Campanha'!H98</f>
        <v>5.0493251015721317</v>
      </c>
      <c r="I57" s="17">
        <f>'DADOS-Campanha'!I98</f>
        <v>12.113743621380518</v>
      </c>
      <c r="J57" s="85"/>
      <c r="K57" s="17">
        <f>'DADOS-Campanha'!K98*FS_AT2*(1+IPNT_AT2)*(1+FPE_AT2)</f>
        <v>0</v>
      </c>
      <c r="L57" s="17">
        <f>'DADOS-Campanha'!L98*FS_AT3*(1+IPNT_AT3)*(1+FPE_AT3)</f>
        <v>0</v>
      </c>
      <c r="M57" s="17">
        <f>'DADOS-Campanha'!M98*FS_MT*(1+IPNT_MT)*(1+FPE_MT)</f>
        <v>4.9463384588381087</v>
      </c>
      <c r="N57" s="17">
        <f>'DADOS-Campanha'!N98*FS_BT*(1+IPNT_BT)*(1+FPE_BT)</f>
        <v>19.425023446950977</v>
      </c>
      <c r="O57" s="79">
        <f t="shared" si="0"/>
        <v>24.371361905789087</v>
      </c>
    </row>
    <row r="58" spans="1:15" x14ac:dyDescent="0.2">
      <c r="A58" s="77">
        <f t="shared" si="1"/>
        <v>25.531232937878951</v>
      </c>
      <c r="B58" s="19">
        <v>0.51041666666666663</v>
      </c>
      <c r="C58" s="19">
        <v>0.52083333333333337</v>
      </c>
      <c r="D58" s="20">
        <v>50</v>
      </c>
      <c r="E58" s="58" t="str">
        <f>'DADOS-Campanha'!E99</f>
        <v>FP</v>
      </c>
      <c r="F58" s="17">
        <f>'DADOS-Campanha'!F99</f>
        <v>0</v>
      </c>
      <c r="G58" s="17">
        <f>'DADOS-Campanha'!G99</f>
        <v>0</v>
      </c>
      <c r="H58" s="17">
        <f>'DADOS-Campanha'!H99</f>
        <v>4.8440467918739092</v>
      </c>
      <c r="I58" s="17">
        <f>'DADOS-Campanha'!I99</f>
        <v>12.188330506954387</v>
      </c>
      <c r="J58" s="85"/>
      <c r="K58" s="17">
        <f>'DADOS-Campanha'!K99*FS_AT2*(1+IPNT_AT2)*(1+FPE_AT2)</f>
        <v>0</v>
      </c>
      <c r="L58" s="17">
        <f>'DADOS-Campanha'!L99*FS_AT3*(1+IPNT_AT3)*(1+FPE_AT3)</f>
        <v>0</v>
      </c>
      <c r="M58" s="17">
        <f>'DADOS-Campanha'!M99*FS_MT*(1+IPNT_MT)*(1+FPE_MT)</f>
        <v>4.6288447854855574</v>
      </c>
      <c r="N58" s="17">
        <f>'DADOS-Campanha'!N99*FS_BT*(1+IPNT_BT)*(1+FPE_BT)</f>
        <v>20.902388152393392</v>
      </c>
      <c r="O58" s="79">
        <f t="shared" si="0"/>
        <v>25.531232937878951</v>
      </c>
    </row>
    <row r="59" spans="1:15" x14ac:dyDescent="0.2">
      <c r="A59" s="77">
        <f t="shared" si="1"/>
        <v>25.146571312592737</v>
      </c>
      <c r="B59" s="19">
        <v>0.52083333333333337</v>
      </c>
      <c r="C59" s="19">
        <v>0.53125</v>
      </c>
      <c r="D59" s="20">
        <v>51</v>
      </c>
      <c r="E59" s="58" t="str">
        <f>'DADOS-Campanha'!E100</f>
        <v>FP</v>
      </c>
      <c r="F59" s="17">
        <f>'DADOS-Campanha'!F100</f>
        <v>0</v>
      </c>
      <c r="G59" s="17">
        <f>'DADOS-Campanha'!G100</f>
        <v>0</v>
      </c>
      <c r="H59" s="17">
        <f>'DADOS-Campanha'!H100</f>
        <v>4.6556837542138609</v>
      </c>
      <c r="I59" s="17">
        <f>'DADOS-Campanha'!I100</f>
        <v>11.315157247042139</v>
      </c>
      <c r="J59" s="85"/>
      <c r="K59" s="17">
        <f>'DADOS-Campanha'!K100*FS_AT2*(1+IPNT_AT2)*(1+FPE_AT2)</f>
        <v>0</v>
      </c>
      <c r="L59" s="17">
        <f>'DADOS-Campanha'!L100*FS_AT3*(1+IPNT_AT3)*(1+FPE_AT3)</f>
        <v>0</v>
      </c>
      <c r="M59" s="17">
        <f>'DADOS-Campanha'!M100*FS_MT*(1+IPNT_MT)*(1+FPE_MT)</f>
        <v>4.4800525579221642</v>
      </c>
      <c r="N59" s="17">
        <f>'DADOS-Campanha'!N100*FS_BT*(1+IPNT_BT)*(1+FPE_BT)</f>
        <v>20.666518754670573</v>
      </c>
      <c r="O59" s="79">
        <f t="shared" si="0"/>
        <v>25.146571312592737</v>
      </c>
    </row>
    <row r="60" spans="1:15" x14ac:dyDescent="0.2">
      <c r="A60" s="77">
        <f t="shared" si="1"/>
        <v>24.291356848367606</v>
      </c>
      <c r="B60" s="19">
        <v>0.53125</v>
      </c>
      <c r="C60" s="19">
        <v>0.54166666666666663</v>
      </c>
      <c r="D60" s="20">
        <v>52</v>
      </c>
      <c r="E60" s="58" t="str">
        <f>'DADOS-Campanha'!E101</f>
        <v>FP</v>
      </c>
      <c r="F60" s="17">
        <f>'DADOS-Campanha'!F101</f>
        <v>0</v>
      </c>
      <c r="G60" s="17">
        <f>'DADOS-Campanha'!G101</f>
        <v>0</v>
      </c>
      <c r="H60" s="17">
        <f>'DADOS-Campanha'!H101</f>
        <v>4.361502458691227</v>
      </c>
      <c r="I60" s="17">
        <f>'DADOS-Campanha'!I101</f>
        <v>11.641344232519261</v>
      </c>
      <c r="J60" s="85"/>
      <c r="K60" s="17">
        <f>'DADOS-Campanha'!K101*FS_AT2*(1+IPNT_AT2)*(1+FPE_AT2)</f>
        <v>0</v>
      </c>
      <c r="L60" s="17">
        <f>'DADOS-Campanha'!L101*FS_AT3*(1+IPNT_AT3)*(1+FPE_AT3)</f>
        <v>0</v>
      </c>
      <c r="M60" s="17">
        <f>'DADOS-Campanha'!M101*FS_MT*(1+IPNT_MT)*(1+FPE_MT)</f>
        <v>4.6421681020146055</v>
      </c>
      <c r="N60" s="17">
        <f>'DADOS-Campanha'!N101*FS_BT*(1+IPNT_BT)*(1+FPE_BT)</f>
        <v>19.649188746353001</v>
      </c>
      <c r="O60" s="79">
        <f t="shared" si="0"/>
        <v>24.291356848367606</v>
      </c>
    </row>
    <row r="61" spans="1:15" x14ac:dyDescent="0.2">
      <c r="A61" s="77">
        <f t="shared" si="1"/>
        <v>21.323055607978517</v>
      </c>
      <c r="B61" s="19">
        <v>0.54166666666666663</v>
      </c>
      <c r="C61" s="19">
        <v>0.55208333333333337</v>
      </c>
      <c r="D61" s="20">
        <v>53</v>
      </c>
      <c r="E61" s="58" t="str">
        <f>'DADOS-Campanha'!E102</f>
        <v>FP</v>
      </c>
      <c r="F61" s="17">
        <f>'DADOS-Campanha'!F102</f>
        <v>0</v>
      </c>
      <c r="G61" s="17">
        <f>'DADOS-Campanha'!G102</f>
        <v>0</v>
      </c>
      <c r="H61" s="17">
        <f>'DADOS-Campanha'!H102</f>
        <v>3.8233779366760863</v>
      </c>
      <c r="I61" s="17">
        <f>'DADOS-Campanha'!I102</f>
        <v>10.641417396973926</v>
      </c>
      <c r="J61" s="85"/>
      <c r="K61" s="17">
        <f>'DADOS-Campanha'!K102*FS_AT2*(1+IPNT_AT2)*(1+FPE_AT2)</f>
        <v>0</v>
      </c>
      <c r="L61" s="17">
        <f>'DADOS-Campanha'!L102*FS_AT3*(1+IPNT_AT3)*(1+FPE_AT3)</f>
        <v>0</v>
      </c>
      <c r="M61" s="17">
        <f>'DADOS-Campanha'!M102*FS_MT*(1+IPNT_MT)*(1+FPE_MT)</f>
        <v>5.0003332856639151</v>
      </c>
      <c r="N61" s="17">
        <f>'DADOS-Campanha'!N102*FS_BT*(1+IPNT_BT)*(1+FPE_BT)</f>
        <v>16.322722322314604</v>
      </c>
      <c r="O61" s="79">
        <f t="shared" si="0"/>
        <v>21.323055607978517</v>
      </c>
    </row>
    <row r="62" spans="1:15" x14ac:dyDescent="0.2">
      <c r="A62" s="77">
        <f t="shared" si="1"/>
        <v>21.97859626235125</v>
      </c>
      <c r="B62" s="19">
        <v>0.55208333333333337</v>
      </c>
      <c r="C62" s="19">
        <v>0.5625</v>
      </c>
      <c r="D62" s="20">
        <v>54</v>
      </c>
      <c r="E62" s="58" t="str">
        <f>'DADOS-Campanha'!E103</f>
        <v>FP</v>
      </c>
      <c r="F62" s="17">
        <f>'DADOS-Campanha'!F103</f>
        <v>0</v>
      </c>
      <c r="G62" s="17">
        <f>'DADOS-Campanha'!G103</f>
        <v>0</v>
      </c>
      <c r="H62" s="17">
        <f>'DADOS-Campanha'!H103</f>
        <v>4.0071916172973348</v>
      </c>
      <c r="I62" s="17">
        <f>'DADOS-Campanha'!I103</f>
        <v>11.040465250930142</v>
      </c>
      <c r="J62" s="85"/>
      <c r="K62" s="17">
        <f>'DADOS-Campanha'!K103*FS_AT2*(1+IPNT_AT2)*(1+FPE_AT2)</f>
        <v>0</v>
      </c>
      <c r="L62" s="17">
        <f>'DADOS-Campanha'!L103*FS_AT3*(1+IPNT_AT3)*(1+FPE_AT3)</f>
        <v>0</v>
      </c>
      <c r="M62" s="17">
        <f>'DADOS-Campanha'!M103*FS_MT*(1+IPNT_MT)*(1+FPE_MT)</f>
        <v>5.3668078853786918</v>
      </c>
      <c r="N62" s="17">
        <f>'DADOS-Campanha'!N103*FS_BT*(1+IPNT_BT)*(1+FPE_BT)</f>
        <v>16.611788376972559</v>
      </c>
      <c r="O62" s="79">
        <f t="shared" si="0"/>
        <v>21.97859626235125</v>
      </c>
    </row>
    <row r="63" spans="1:15" x14ac:dyDescent="0.2">
      <c r="A63" s="77">
        <f t="shared" si="1"/>
        <v>23.73561802453602</v>
      </c>
      <c r="B63" s="19">
        <v>0.5625</v>
      </c>
      <c r="C63" s="19">
        <v>0.57291666666666663</v>
      </c>
      <c r="D63" s="20">
        <v>55</v>
      </c>
      <c r="E63" s="58" t="str">
        <f>'DADOS-Campanha'!E104</f>
        <v>FP</v>
      </c>
      <c r="F63" s="17">
        <f>'DADOS-Campanha'!F104</f>
        <v>0</v>
      </c>
      <c r="G63" s="17">
        <f>'DADOS-Campanha'!G104</f>
        <v>0</v>
      </c>
      <c r="H63" s="17">
        <f>'DADOS-Campanha'!H104</f>
        <v>4.3845035910720904</v>
      </c>
      <c r="I63" s="17">
        <f>'DADOS-Campanha'!I104</f>
        <v>11.363459754072517</v>
      </c>
      <c r="J63" s="85"/>
      <c r="K63" s="17">
        <f>'DADOS-Campanha'!K104*FS_AT2*(1+IPNT_AT2)*(1+FPE_AT2)</f>
        <v>0</v>
      </c>
      <c r="L63" s="17">
        <f>'DADOS-Campanha'!L104*FS_AT3*(1+IPNT_AT3)*(1+FPE_AT3)</f>
        <v>0</v>
      </c>
      <c r="M63" s="17">
        <f>'DADOS-Campanha'!M104*FS_MT*(1+IPNT_MT)*(1+FPE_MT)</f>
        <v>5.6467385211432415</v>
      </c>
      <c r="N63" s="17">
        <f>'DADOS-Campanha'!N104*FS_BT*(1+IPNT_BT)*(1+FPE_BT)</f>
        <v>18.088879503392779</v>
      </c>
      <c r="O63" s="79">
        <f t="shared" si="0"/>
        <v>23.73561802453602</v>
      </c>
    </row>
    <row r="64" spans="1:15" x14ac:dyDescent="0.2">
      <c r="A64" s="77">
        <f t="shared" si="1"/>
        <v>24.238229998454184</v>
      </c>
      <c r="B64" s="19">
        <v>0.57291666666666663</v>
      </c>
      <c r="C64" s="19">
        <v>0.58333333333333337</v>
      </c>
      <c r="D64" s="20">
        <v>56</v>
      </c>
      <c r="E64" s="58" t="str">
        <f>'DADOS-Campanha'!E105</f>
        <v>FP</v>
      </c>
      <c r="F64" s="17">
        <f>'DADOS-Campanha'!F105</f>
        <v>0</v>
      </c>
      <c r="G64" s="17">
        <f>'DADOS-Campanha'!G105</f>
        <v>0</v>
      </c>
      <c r="H64" s="17">
        <f>'DADOS-Campanha'!H105</f>
        <v>4.7104155270342671</v>
      </c>
      <c r="I64" s="17">
        <f>'DADOS-Campanha'!I105</f>
        <v>11.689464499847494</v>
      </c>
      <c r="J64" s="85"/>
      <c r="K64" s="17">
        <f>'DADOS-Campanha'!K105*FS_AT2*(1+IPNT_AT2)*(1+FPE_AT2)</f>
        <v>0</v>
      </c>
      <c r="L64" s="17">
        <f>'DADOS-Campanha'!L105*FS_AT3*(1+IPNT_AT3)*(1+FPE_AT3)</f>
        <v>0</v>
      </c>
      <c r="M64" s="17">
        <f>'DADOS-Campanha'!M105*FS_MT*(1+IPNT_MT)*(1+FPE_MT)</f>
        <v>5.8899490968564825</v>
      </c>
      <c r="N64" s="17">
        <f>'DADOS-Campanha'!N105*FS_BT*(1+IPNT_BT)*(1+FPE_BT)</f>
        <v>18.3482809015977</v>
      </c>
      <c r="O64" s="79">
        <f t="shared" si="0"/>
        <v>24.238229998454184</v>
      </c>
    </row>
    <row r="65" spans="1:15" x14ac:dyDescent="0.2">
      <c r="A65" s="77">
        <f t="shared" si="1"/>
        <v>25.152502373475528</v>
      </c>
      <c r="B65" s="19">
        <v>0.58333333333333337</v>
      </c>
      <c r="C65" s="19">
        <v>0.59375</v>
      </c>
      <c r="D65" s="20">
        <v>57</v>
      </c>
      <c r="E65" s="58" t="str">
        <f>'DADOS-Campanha'!E106</f>
        <v>FP</v>
      </c>
      <c r="F65" s="17">
        <f>'DADOS-Campanha'!F106</f>
        <v>0</v>
      </c>
      <c r="G65" s="17">
        <f>'DADOS-Campanha'!G106</f>
        <v>0</v>
      </c>
      <c r="H65" s="17">
        <f>'DADOS-Campanha'!H106</f>
        <v>4.7466050583809682</v>
      </c>
      <c r="I65" s="17">
        <f>'DADOS-Campanha'!I106</f>
        <v>12.246797945681235</v>
      </c>
      <c r="J65" s="85"/>
      <c r="K65" s="17">
        <f>'DADOS-Campanha'!K106*FS_AT2*(1+IPNT_AT2)*(1+FPE_AT2)</f>
        <v>0</v>
      </c>
      <c r="L65" s="17">
        <f>'DADOS-Campanha'!L106*FS_AT3*(1+IPNT_AT3)*(1+FPE_AT3)</f>
        <v>0</v>
      </c>
      <c r="M65" s="17">
        <f>'DADOS-Campanha'!M106*FS_MT*(1+IPNT_MT)*(1+FPE_MT)</f>
        <v>5.956422036177428</v>
      </c>
      <c r="N65" s="17">
        <f>'DADOS-Campanha'!N106*FS_BT*(1+IPNT_BT)*(1+FPE_BT)</f>
        <v>19.196080337298099</v>
      </c>
      <c r="O65" s="79">
        <f t="shared" si="0"/>
        <v>25.152502373475528</v>
      </c>
    </row>
    <row r="66" spans="1:15" x14ac:dyDescent="0.2">
      <c r="A66" s="77">
        <f t="shared" si="1"/>
        <v>24.308233586656435</v>
      </c>
      <c r="B66" s="19">
        <v>0.59375</v>
      </c>
      <c r="C66" s="19">
        <v>0.60416666666666663</v>
      </c>
      <c r="D66" s="20">
        <v>58</v>
      </c>
      <c r="E66" s="58" t="str">
        <f>'DADOS-Campanha'!E107</f>
        <v>FP</v>
      </c>
      <c r="F66" s="17">
        <f>'DADOS-Campanha'!F107</f>
        <v>0</v>
      </c>
      <c r="G66" s="17">
        <f>'DADOS-Campanha'!G107</f>
        <v>0</v>
      </c>
      <c r="H66" s="17">
        <f>'DADOS-Campanha'!H107</f>
        <v>4.8292559345841246</v>
      </c>
      <c r="I66" s="17">
        <f>'DADOS-Campanha'!I107</f>
        <v>11.70343416476018</v>
      </c>
      <c r="J66" s="85"/>
      <c r="K66" s="17">
        <f>'DADOS-Campanha'!K107*FS_AT2*(1+IPNT_AT2)*(1+FPE_AT2)</f>
        <v>0</v>
      </c>
      <c r="L66" s="17">
        <f>'DADOS-Campanha'!L107*FS_AT3*(1+IPNT_AT3)*(1+FPE_AT3)</f>
        <v>0</v>
      </c>
      <c r="M66" s="17">
        <f>'DADOS-Campanha'!M107*FS_MT*(1+IPNT_MT)*(1+FPE_MT)</f>
        <v>6.016076747380513</v>
      </c>
      <c r="N66" s="17">
        <f>'DADOS-Campanha'!N107*FS_BT*(1+IPNT_BT)*(1+FPE_BT)</f>
        <v>18.292156839275922</v>
      </c>
      <c r="O66" s="79">
        <f t="shared" si="0"/>
        <v>24.308233586656435</v>
      </c>
    </row>
    <row r="67" spans="1:15" x14ac:dyDescent="0.2">
      <c r="A67" s="77">
        <f t="shared" si="1"/>
        <v>25.012970474839111</v>
      </c>
      <c r="B67" s="19">
        <v>0.60416666666666663</v>
      </c>
      <c r="C67" s="19">
        <v>0.61458333333333337</v>
      </c>
      <c r="D67" s="20">
        <v>59</v>
      </c>
      <c r="E67" s="58" t="str">
        <f>'DADOS-Campanha'!E108</f>
        <v>FP</v>
      </c>
      <c r="F67" s="17">
        <f>'DADOS-Campanha'!F108</f>
        <v>0</v>
      </c>
      <c r="G67" s="17">
        <f>'DADOS-Campanha'!G108</f>
        <v>0</v>
      </c>
      <c r="H67" s="17">
        <f>'DADOS-Campanha'!H108</f>
        <v>5.0612699464614082</v>
      </c>
      <c r="I67" s="17">
        <f>'DADOS-Campanha'!I108</f>
        <v>12.248249014241624</v>
      </c>
      <c r="J67" s="85"/>
      <c r="K67" s="17">
        <f>'DADOS-Campanha'!K108*FS_AT2*(1+IPNT_AT2)*(1+FPE_AT2)</f>
        <v>0</v>
      </c>
      <c r="L67" s="17">
        <f>'DADOS-Campanha'!L108*FS_AT3*(1+IPNT_AT3)*(1+FPE_AT3)</f>
        <v>0</v>
      </c>
      <c r="M67" s="17">
        <f>'DADOS-Campanha'!M108*FS_MT*(1+IPNT_MT)*(1+FPE_MT)</f>
        <v>5.9431321342335357</v>
      </c>
      <c r="N67" s="17">
        <f>'DADOS-Campanha'!N108*FS_BT*(1+IPNT_BT)*(1+FPE_BT)</f>
        <v>19.069838340605575</v>
      </c>
      <c r="O67" s="79">
        <f t="shared" si="0"/>
        <v>25.012970474839111</v>
      </c>
    </row>
    <row r="68" spans="1:15" x14ac:dyDescent="0.2">
      <c r="A68" s="77">
        <f t="shared" si="1"/>
        <v>27.204710930417527</v>
      </c>
      <c r="B68" s="19">
        <v>0.61458333333333337</v>
      </c>
      <c r="C68" s="19">
        <v>0.625</v>
      </c>
      <c r="D68" s="20">
        <v>60</v>
      </c>
      <c r="E68" s="58" t="str">
        <f>'DADOS-Campanha'!E109</f>
        <v>FP</v>
      </c>
      <c r="F68" s="17">
        <f>'DADOS-Campanha'!F109</f>
        <v>0</v>
      </c>
      <c r="G68" s="17">
        <f>'DADOS-Campanha'!G109</f>
        <v>0</v>
      </c>
      <c r="H68" s="17">
        <f>'DADOS-Campanha'!H109</f>
        <v>5.2925386784531572</v>
      </c>
      <c r="I68" s="17">
        <f>'DADOS-Campanha'!I109</f>
        <v>12.659404849899548</v>
      </c>
      <c r="J68" s="85"/>
      <c r="K68" s="17">
        <f>'DADOS-Campanha'!K109*FS_AT2*(1+IPNT_AT2)*(1+FPE_AT2)</f>
        <v>0</v>
      </c>
      <c r="L68" s="17">
        <f>'DADOS-Campanha'!L109*FS_AT3*(1+IPNT_AT3)*(1+FPE_AT3)</f>
        <v>0</v>
      </c>
      <c r="M68" s="17">
        <f>'DADOS-Campanha'!M109*FS_MT*(1+IPNT_MT)*(1+FPE_MT)</f>
        <v>5.9232983257558178</v>
      </c>
      <c r="N68" s="17">
        <f>'DADOS-Campanha'!N109*FS_BT*(1+IPNT_BT)*(1+FPE_BT)</f>
        <v>21.281412604661707</v>
      </c>
      <c r="O68" s="79">
        <f t="shared" si="0"/>
        <v>27.204710930417527</v>
      </c>
    </row>
    <row r="69" spans="1:15" x14ac:dyDescent="0.2">
      <c r="A69" s="77">
        <f t="shared" si="1"/>
        <v>25.858730241237105</v>
      </c>
      <c r="B69" s="19">
        <v>0.625</v>
      </c>
      <c r="C69" s="19">
        <v>0.63541666666666663</v>
      </c>
      <c r="D69" s="20">
        <v>61</v>
      </c>
      <c r="E69" s="58" t="str">
        <f>'DADOS-Campanha'!E110</f>
        <v>FP</v>
      </c>
      <c r="F69" s="17">
        <f>'DADOS-Campanha'!F110</f>
        <v>0</v>
      </c>
      <c r="G69" s="17">
        <f>'DADOS-Campanha'!G110</f>
        <v>0</v>
      </c>
      <c r="H69" s="17">
        <f>'DADOS-Campanha'!H110</f>
        <v>5.3414089800924689</v>
      </c>
      <c r="I69" s="17">
        <f>'DADOS-Campanha'!I110</f>
        <v>12.461740578811618</v>
      </c>
      <c r="J69" s="85"/>
      <c r="K69" s="17">
        <f>'DADOS-Campanha'!K110*FS_AT2*(1+IPNT_AT2)*(1+FPE_AT2)</f>
        <v>0</v>
      </c>
      <c r="L69" s="17">
        <f>'DADOS-Campanha'!L110*FS_AT3*(1+IPNT_AT3)*(1+FPE_AT3)</f>
        <v>0</v>
      </c>
      <c r="M69" s="17">
        <f>'DADOS-Campanha'!M110*FS_MT*(1+IPNT_MT)*(1+FPE_MT)</f>
        <v>6.0229032477918762</v>
      </c>
      <c r="N69" s="17">
        <f>'DADOS-Campanha'!N110*FS_BT*(1+IPNT_BT)*(1+FPE_BT)</f>
        <v>19.835826993445227</v>
      </c>
      <c r="O69" s="79">
        <f t="shared" si="0"/>
        <v>25.858730241237105</v>
      </c>
    </row>
    <row r="70" spans="1:15" x14ac:dyDescent="0.2">
      <c r="A70" s="77">
        <f t="shared" si="1"/>
        <v>24.100202808248561</v>
      </c>
      <c r="B70" s="19">
        <v>0.63541666666666663</v>
      </c>
      <c r="C70" s="19">
        <v>0.64583333333333337</v>
      </c>
      <c r="D70" s="20">
        <v>62</v>
      </c>
      <c r="E70" s="58" t="str">
        <f>'DADOS-Campanha'!E111</f>
        <v>FP</v>
      </c>
      <c r="F70" s="17">
        <f>'DADOS-Campanha'!F111</f>
        <v>0</v>
      </c>
      <c r="G70" s="17">
        <f>'DADOS-Campanha'!G111</f>
        <v>0</v>
      </c>
      <c r="H70" s="17">
        <f>'DADOS-Campanha'!H111</f>
        <v>5.7934164942220017</v>
      </c>
      <c r="I70" s="17">
        <f>'DADOS-Campanha'!I111</f>
        <v>12.78317453807043</v>
      </c>
      <c r="J70" s="85"/>
      <c r="K70" s="17">
        <f>'DADOS-Campanha'!K111*FS_AT2*(1+IPNT_AT2)*(1+FPE_AT2)</f>
        <v>0</v>
      </c>
      <c r="L70" s="17">
        <f>'DADOS-Campanha'!L111*FS_AT3*(1+IPNT_AT3)*(1+FPE_AT3)</f>
        <v>0</v>
      </c>
      <c r="M70" s="17">
        <f>'DADOS-Campanha'!M111*FS_MT*(1+IPNT_MT)*(1+FPE_MT)</f>
        <v>5.9473690471125522</v>
      </c>
      <c r="N70" s="17">
        <f>'DADOS-Campanha'!N111*FS_BT*(1+IPNT_BT)*(1+FPE_BT)</f>
        <v>18.152833761136009</v>
      </c>
      <c r="O70" s="79">
        <f t="shared" si="0"/>
        <v>24.100202808248561</v>
      </c>
    </row>
    <row r="71" spans="1:15" x14ac:dyDescent="0.2">
      <c r="A71" s="77">
        <f t="shared" si="1"/>
        <v>25.976913335538221</v>
      </c>
      <c r="B71" s="19">
        <v>0.64583333333333337</v>
      </c>
      <c r="C71" s="19">
        <v>0.65625</v>
      </c>
      <c r="D71" s="20">
        <v>63</v>
      </c>
      <c r="E71" s="58" t="str">
        <f>'DADOS-Campanha'!E112</f>
        <v>FP</v>
      </c>
      <c r="F71" s="17">
        <f>'DADOS-Campanha'!F112</f>
        <v>0</v>
      </c>
      <c r="G71" s="17">
        <f>'DADOS-Campanha'!G112</f>
        <v>0</v>
      </c>
      <c r="H71" s="17">
        <f>'DADOS-Campanha'!H112</f>
        <v>5.1815135263410363</v>
      </c>
      <c r="I71" s="17">
        <f>'DADOS-Campanha'!I112</f>
        <v>12.922141735256616</v>
      </c>
      <c r="J71" s="85"/>
      <c r="K71" s="17">
        <f>'DADOS-Campanha'!K112*FS_AT2*(1+IPNT_AT2)*(1+FPE_AT2)</f>
        <v>0</v>
      </c>
      <c r="L71" s="17">
        <f>'DADOS-Campanha'!L112*FS_AT3*(1+IPNT_AT3)*(1+FPE_AT3)</f>
        <v>0</v>
      </c>
      <c r="M71" s="17">
        <f>'DADOS-Campanha'!M112*FS_MT*(1+IPNT_MT)*(1+FPE_MT)</f>
        <v>6.0158601006378536</v>
      </c>
      <c r="N71" s="17">
        <f>'DADOS-Campanha'!N112*FS_BT*(1+IPNT_BT)*(1+FPE_BT)</f>
        <v>19.961053234900366</v>
      </c>
      <c r="O71" s="79">
        <f t="shared" si="0"/>
        <v>25.976913335538221</v>
      </c>
    </row>
    <row r="72" spans="1:15" x14ac:dyDescent="0.2">
      <c r="A72" s="77">
        <f t="shared" si="1"/>
        <v>26.031389182320329</v>
      </c>
      <c r="B72" s="19">
        <v>0.65625</v>
      </c>
      <c r="C72" s="19">
        <v>0.66666666666666663</v>
      </c>
      <c r="D72" s="20">
        <v>64</v>
      </c>
      <c r="E72" s="58" t="str">
        <f>'DADOS-Campanha'!E113</f>
        <v>FP</v>
      </c>
      <c r="F72" s="17">
        <f>'DADOS-Campanha'!F113</f>
        <v>0</v>
      </c>
      <c r="G72" s="17">
        <f>'DADOS-Campanha'!G113</f>
        <v>0</v>
      </c>
      <c r="H72" s="17">
        <f>'DADOS-Campanha'!H113</f>
        <v>4.2821268353692048</v>
      </c>
      <c r="I72" s="17">
        <f>'DADOS-Campanha'!I113</f>
        <v>13.310138608742047</v>
      </c>
      <c r="J72" s="85"/>
      <c r="K72" s="17">
        <f>'DADOS-Campanha'!K113*FS_AT2*(1+IPNT_AT2)*(1+FPE_AT2)</f>
        <v>0</v>
      </c>
      <c r="L72" s="17">
        <f>'DADOS-Campanha'!L113*FS_AT3*(1+IPNT_AT3)*(1+FPE_AT3)</f>
        <v>0</v>
      </c>
      <c r="M72" s="17">
        <f>'DADOS-Campanha'!M113*FS_MT*(1+IPNT_MT)*(1+FPE_MT)</f>
        <v>5.9739034904012662</v>
      </c>
      <c r="N72" s="17">
        <f>'DADOS-Campanha'!N113*FS_BT*(1+IPNT_BT)*(1+FPE_BT)</f>
        <v>20.057485691919062</v>
      </c>
      <c r="O72" s="79">
        <f t="shared" si="0"/>
        <v>26.031389182320329</v>
      </c>
    </row>
    <row r="73" spans="1:15" x14ac:dyDescent="0.2">
      <c r="A73" s="77">
        <f t="shared" si="1"/>
        <v>25.690747290546842</v>
      </c>
      <c r="B73" s="19">
        <v>0.66666666666666663</v>
      </c>
      <c r="C73" s="19">
        <v>0.67708333333333337</v>
      </c>
      <c r="D73" s="20">
        <v>65</v>
      </c>
      <c r="E73" s="58" t="str">
        <f>'DADOS-Campanha'!E114</f>
        <v>FP</v>
      </c>
      <c r="F73" s="17">
        <f>'DADOS-Campanha'!F114</f>
        <v>0</v>
      </c>
      <c r="G73" s="17">
        <f>'DADOS-Campanha'!G114</f>
        <v>0</v>
      </c>
      <c r="H73" s="17">
        <f>'DADOS-Campanha'!H114</f>
        <v>4.5753873656567086</v>
      </c>
      <c r="I73" s="17">
        <f>'DADOS-Campanha'!I114</f>
        <v>13.475099565295489</v>
      </c>
      <c r="J73" s="85"/>
      <c r="K73" s="17">
        <f>'DADOS-Campanha'!K114*FS_AT2*(1+IPNT_AT2)*(1+FPE_AT2)</f>
        <v>0</v>
      </c>
      <c r="L73" s="17">
        <f>'DADOS-Campanha'!L114*FS_AT3*(1+IPNT_AT3)*(1+FPE_AT3)</f>
        <v>0</v>
      </c>
      <c r="M73" s="17">
        <f>'DADOS-Campanha'!M114*FS_MT*(1+IPNT_MT)*(1+FPE_MT)</f>
        <v>6.1676272967114931</v>
      </c>
      <c r="N73" s="17">
        <f>'DADOS-Campanha'!N114*FS_BT*(1+IPNT_BT)*(1+FPE_BT)</f>
        <v>19.523119993835348</v>
      </c>
      <c r="O73" s="79">
        <f t="shared" ref="O73:O104" si="2">SUM(K73:N73)</f>
        <v>25.690747290546842</v>
      </c>
    </row>
    <row r="74" spans="1:15" x14ac:dyDescent="0.2">
      <c r="A74" s="77">
        <f t="shared" ref="A74:A104" si="3">O74</f>
        <v>24.336026730978084</v>
      </c>
      <c r="B74" s="19">
        <v>0.67708333333333337</v>
      </c>
      <c r="C74" s="19">
        <v>0.6875</v>
      </c>
      <c r="D74" s="20">
        <v>66</v>
      </c>
      <c r="E74" s="58" t="str">
        <f>'DADOS-Campanha'!E115</f>
        <v>FP</v>
      </c>
      <c r="F74" s="17">
        <f>'DADOS-Campanha'!F115</f>
        <v>0</v>
      </c>
      <c r="G74" s="17">
        <f>'DADOS-Campanha'!G115</f>
        <v>0</v>
      </c>
      <c r="H74" s="17">
        <f>'DADOS-Campanha'!H115</f>
        <v>4.9250440561289448</v>
      </c>
      <c r="I74" s="17">
        <f>'DADOS-Campanha'!I115</f>
        <v>14.473015243815215</v>
      </c>
      <c r="J74" s="85"/>
      <c r="K74" s="17">
        <f>'DADOS-Campanha'!K115*FS_AT2*(1+IPNT_AT2)*(1+FPE_AT2)</f>
        <v>0</v>
      </c>
      <c r="L74" s="17">
        <f>'DADOS-Campanha'!L115*FS_AT3*(1+IPNT_AT3)*(1+FPE_AT3)</f>
        <v>0</v>
      </c>
      <c r="M74" s="17">
        <f>'DADOS-Campanha'!M115*FS_MT*(1+IPNT_MT)*(1+FPE_MT)</f>
        <v>6.0669796375211256</v>
      </c>
      <c r="N74" s="17">
        <f>'DADOS-Campanha'!N115*FS_BT*(1+IPNT_BT)*(1+FPE_BT)</f>
        <v>18.269047093456958</v>
      </c>
      <c r="O74" s="79">
        <f t="shared" si="2"/>
        <v>24.336026730978084</v>
      </c>
    </row>
    <row r="75" spans="1:15" x14ac:dyDescent="0.2">
      <c r="A75" s="77">
        <f t="shared" si="3"/>
        <v>24.36905441634471</v>
      </c>
      <c r="B75" s="19">
        <v>0.6875</v>
      </c>
      <c r="C75" s="19">
        <v>0.69791666666666663</v>
      </c>
      <c r="D75" s="20">
        <v>67</v>
      </c>
      <c r="E75" s="58" t="str">
        <f>'DADOS-Campanha'!E116</f>
        <v>FP</v>
      </c>
      <c r="F75" s="17">
        <f>'DADOS-Campanha'!F116</f>
        <v>0</v>
      </c>
      <c r="G75" s="17">
        <f>'DADOS-Campanha'!G116</f>
        <v>0</v>
      </c>
      <c r="H75" s="17">
        <f>'DADOS-Campanha'!H116</f>
        <v>5.0281762750777315</v>
      </c>
      <c r="I75" s="17">
        <f>'DADOS-Campanha'!I116</f>
        <v>14.68620002543503</v>
      </c>
      <c r="J75" s="85"/>
      <c r="K75" s="17">
        <f>'DADOS-Campanha'!K116*FS_AT2*(1+IPNT_AT2)*(1+FPE_AT2)</f>
        <v>0</v>
      </c>
      <c r="L75" s="17">
        <f>'DADOS-Campanha'!L116*FS_AT3*(1+IPNT_AT3)*(1+FPE_AT3)</f>
        <v>0</v>
      </c>
      <c r="M75" s="17">
        <f>'DADOS-Campanha'!M116*FS_MT*(1+IPNT_MT)*(1+FPE_MT)</f>
        <v>6.0124370067454382</v>
      </c>
      <c r="N75" s="17">
        <f>'DADOS-Campanha'!N116*FS_BT*(1+IPNT_BT)*(1+FPE_BT)</f>
        <v>18.35661740959927</v>
      </c>
      <c r="O75" s="79">
        <f t="shared" si="2"/>
        <v>24.36905441634471</v>
      </c>
    </row>
    <row r="76" spans="1:15" x14ac:dyDescent="0.2">
      <c r="A76" s="77">
        <f t="shared" si="3"/>
        <v>25.186995376076865</v>
      </c>
      <c r="B76" s="19">
        <v>0.69791666666666663</v>
      </c>
      <c r="C76" s="19">
        <v>0.70833333333333337</v>
      </c>
      <c r="D76" s="20">
        <v>68</v>
      </c>
      <c r="E76" s="58" t="str">
        <f>'DADOS-Campanha'!E117</f>
        <v>FP</v>
      </c>
      <c r="F76" s="17">
        <f>'DADOS-Campanha'!F117</f>
        <v>0</v>
      </c>
      <c r="G76" s="17">
        <f>'DADOS-Campanha'!G117</f>
        <v>0</v>
      </c>
      <c r="H76" s="17">
        <f>'DADOS-Campanha'!H117</f>
        <v>5.1110690652952115</v>
      </c>
      <c r="I76" s="17">
        <f>'DADOS-Campanha'!I117</f>
        <v>14.670116796400135</v>
      </c>
      <c r="J76" s="85"/>
      <c r="K76" s="17">
        <f>'DADOS-Campanha'!K117*FS_AT2*(1+IPNT_AT2)*(1+FPE_AT2)</f>
        <v>0</v>
      </c>
      <c r="L76" s="17">
        <f>'DADOS-Campanha'!L117*FS_AT3*(1+IPNT_AT3)*(1+FPE_AT3)</f>
        <v>0</v>
      </c>
      <c r="M76" s="17">
        <f>'DADOS-Campanha'!M117*FS_MT*(1+IPNT_MT)*(1+FPE_MT)</f>
        <v>5.7844539764329541</v>
      </c>
      <c r="N76" s="17">
        <f>'DADOS-Campanha'!N117*FS_BT*(1+IPNT_BT)*(1+FPE_BT)</f>
        <v>19.402541399643912</v>
      </c>
      <c r="O76" s="79">
        <f t="shared" si="2"/>
        <v>25.186995376076865</v>
      </c>
    </row>
    <row r="77" spans="1:15" x14ac:dyDescent="0.2">
      <c r="A77" s="77">
        <f t="shared" si="3"/>
        <v>26.38320251336809</v>
      </c>
      <c r="B77" s="19">
        <v>0.70833333333333337</v>
      </c>
      <c r="C77" s="19">
        <v>0.71875</v>
      </c>
      <c r="D77" s="20">
        <v>69</v>
      </c>
      <c r="E77" s="58" t="str">
        <f>'DADOS-Campanha'!E118</f>
        <v>FP</v>
      </c>
      <c r="F77" s="17">
        <f>'DADOS-Campanha'!F118</f>
        <v>0</v>
      </c>
      <c r="G77" s="17">
        <f>'DADOS-Campanha'!G118</f>
        <v>0</v>
      </c>
      <c r="H77" s="17">
        <f>'DADOS-Campanha'!H118</f>
        <v>5.1715669883072204</v>
      </c>
      <c r="I77" s="17">
        <f>'DADOS-Campanha'!I118</f>
        <v>15.434273893901709</v>
      </c>
      <c r="J77" s="85"/>
      <c r="K77" s="17">
        <f>'DADOS-Campanha'!K118*FS_AT2*(1+IPNT_AT2)*(1+FPE_AT2)</f>
        <v>0</v>
      </c>
      <c r="L77" s="17">
        <f>'DADOS-Campanha'!L118*FS_AT3*(1+IPNT_AT3)*(1+FPE_AT3)</f>
        <v>0</v>
      </c>
      <c r="M77" s="17">
        <f>'DADOS-Campanha'!M118*FS_MT*(1+IPNT_MT)*(1+FPE_MT)</f>
        <v>5.4098092708708858</v>
      </c>
      <c r="N77" s="17">
        <f>'DADOS-Campanha'!N118*FS_BT*(1+IPNT_BT)*(1+FPE_BT)</f>
        <v>20.973393242497206</v>
      </c>
      <c r="O77" s="79">
        <f t="shared" si="2"/>
        <v>26.38320251336809</v>
      </c>
    </row>
    <row r="78" spans="1:15" x14ac:dyDescent="0.2">
      <c r="A78" s="77">
        <f t="shared" si="3"/>
        <v>26.196978172204659</v>
      </c>
      <c r="B78" s="19">
        <v>0.71875</v>
      </c>
      <c r="C78" s="19">
        <v>0.72916666666666663</v>
      </c>
      <c r="D78" s="20">
        <v>70</v>
      </c>
      <c r="E78" s="58" t="str">
        <f>'DADOS-Campanha'!E119</f>
        <v>FP</v>
      </c>
      <c r="F78" s="17">
        <f>'DADOS-Campanha'!F119</f>
        <v>0</v>
      </c>
      <c r="G78" s="17">
        <f>'DADOS-Campanha'!G119</f>
        <v>0</v>
      </c>
      <c r="H78" s="17">
        <f>'DADOS-Campanha'!H119</f>
        <v>5.2942882034466052</v>
      </c>
      <c r="I78" s="17">
        <f>'DADOS-Campanha'!I119</f>
        <v>16.102351108222063</v>
      </c>
      <c r="J78" s="85"/>
      <c r="K78" s="17">
        <f>'DADOS-Campanha'!K119*FS_AT2*(1+IPNT_AT2)*(1+FPE_AT2)</f>
        <v>0</v>
      </c>
      <c r="L78" s="17">
        <f>'DADOS-Campanha'!L119*FS_AT3*(1+IPNT_AT3)*(1+FPE_AT3)</f>
        <v>0</v>
      </c>
      <c r="M78" s="17">
        <f>'DADOS-Campanha'!M119*FS_MT*(1+IPNT_MT)*(1+FPE_MT)</f>
        <v>5.1353889245609894</v>
      </c>
      <c r="N78" s="17">
        <f>'DADOS-Campanha'!N119*FS_BT*(1+IPNT_BT)*(1+FPE_BT)</f>
        <v>21.061589247643671</v>
      </c>
      <c r="O78" s="79">
        <f t="shared" si="2"/>
        <v>26.196978172204659</v>
      </c>
    </row>
    <row r="79" spans="1:15" x14ac:dyDescent="0.2">
      <c r="A79" s="77">
        <f t="shared" si="3"/>
        <v>26.423510974216892</v>
      </c>
      <c r="B79" s="19">
        <v>0.72916666666666663</v>
      </c>
      <c r="C79" s="19">
        <v>0.73958333333333337</v>
      </c>
      <c r="D79" s="20">
        <v>71</v>
      </c>
      <c r="E79" s="58" t="str">
        <f>'DADOS-Campanha'!E120</f>
        <v>FP</v>
      </c>
      <c r="F79" s="17">
        <f>'DADOS-Campanha'!F120</f>
        <v>0</v>
      </c>
      <c r="G79" s="17">
        <f>'DADOS-Campanha'!G120</f>
        <v>0</v>
      </c>
      <c r="H79" s="17">
        <f>'DADOS-Campanha'!H120</f>
        <v>5.5370498049029271</v>
      </c>
      <c r="I79" s="17">
        <f>'DADOS-Campanha'!I120</f>
        <v>16.2193237376766</v>
      </c>
      <c r="J79" s="85"/>
      <c r="K79" s="17">
        <f>'DADOS-Campanha'!K120*FS_AT2*(1+IPNT_AT2)*(1+FPE_AT2)</f>
        <v>0</v>
      </c>
      <c r="L79" s="17">
        <f>'DADOS-Campanha'!L120*FS_AT3*(1+IPNT_AT3)*(1+FPE_AT3)</f>
        <v>0</v>
      </c>
      <c r="M79" s="17">
        <f>'DADOS-Campanha'!M120*FS_MT*(1+IPNT_MT)*(1+FPE_MT)</f>
        <v>5.0958497593680727</v>
      </c>
      <c r="N79" s="17">
        <f>'DADOS-Campanha'!N120*FS_BT*(1+IPNT_BT)*(1+FPE_BT)</f>
        <v>21.32766121484882</v>
      </c>
      <c r="O79" s="79">
        <f t="shared" si="2"/>
        <v>26.423510974216892</v>
      </c>
    </row>
    <row r="80" spans="1:15" x14ac:dyDescent="0.2">
      <c r="A80" s="77">
        <f t="shared" si="3"/>
        <v>27.822021931973062</v>
      </c>
      <c r="B80" s="19">
        <v>0.73958333333333337</v>
      </c>
      <c r="C80" s="19">
        <v>0.75</v>
      </c>
      <c r="D80" s="20">
        <v>72</v>
      </c>
      <c r="E80" s="58" t="str">
        <f>'DADOS-Campanha'!E121</f>
        <v>FP</v>
      </c>
      <c r="F80" s="17">
        <f>'DADOS-Campanha'!F121</f>
        <v>0</v>
      </c>
      <c r="G80" s="17">
        <f>'DADOS-Campanha'!G121</f>
        <v>0</v>
      </c>
      <c r="H80" s="17">
        <f>'DADOS-Campanha'!H121</f>
        <v>5.8260895691402483</v>
      </c>
      <c r="I80" s="17">
        <f>'DADOS-Campanha'!I121</f>
        <v>16.865183488562259</v>
      </c>
      <c r="J80" s="85"/>
      <c r="K80" s="17">
        <f>'DADOS-Campanha'!K121*FS_AT2*(1+IPNT_AT2)*(1+FPE_AT2)</f>
        <v>0</v>
      </c>
      <c r="L80" s="17">
        <f>'DADOS-Campanha'!L121*FS_AT3*(1+IPNT_AT3)*(1+FPE_AT3)</f>
        <v>0</v>
      </c>
      <c r="M80" s="17">
        <f>'DADOS-Campanha'!M121*FS_MT*(1+IPNT_MT)*(1+FPE_MT)</f>
        <v>4.3092753915948858</v>
      </c>
      <c r="N80" s="17">
        <f>'DADOS-Campanha'!N121*FS_BT*(1+IPNT_BT)*(1+FPE_BT)</f>
        <v>23.512746540378178</v>
      </c>
      <c r="O80" s="79">
        <f t="shared" si="2"/>
        <v>27.822021931973062</v>
      </c>
    </row>
    <row r="81" spans="1:15" x14ac:dyDescent="0.2">
      <c r="A81" s="77">
        <f t="shared" si="3"/>
        <v>28.45872026610294</v>
      </c>
      <c r="B81" s="19">
        <v>0.75</v>
      </c>
      <c r="C81" s="19">
        <v>0.76041666666666663</v>
      </c>
      <c r="D81" s="20">
        <v>73</v>
      </c>
      <c r="E81" s="58" t="str">
        <f>'DADOS-Campanha'!E122</f>
        <v>P</v>
      </c>
      <c r="F81" s="17">
        <f>'DADOS-Campanha'!F122</f>
        <v>0</v>
      </c>
      <c r="G81" s="17">
        <f>'DADOS-Campanha'!G122</f>
        <v>0</v>
      </c>
      <c r="H81" s="17">
        <f>'DADOS-Campanha'!H122</f>
        <v>5.9661162211132988</v>
      </c>
      <c r="I81" s="17">
        <f>'DADOS-Campanha'!I122</f>
        <v>17.146486358631766</v>
      </c>
      <c r="J81" s="85"/>
      <c r="K81" s="17">
        <f>'DADOS-Campanha'!K122*FS_AT2*(1+IPNT_AT2)*(1+FPE_AT2)</f>
        <v>0</v>
      </c>
      <c r="L81" s="17">
        <f>'DADOS-Campanha'!L122*FS_AT3*(1+IPNT_AT3)*(1+FPE_AT3)</f>
        <v>0</v>
      </c>
      <c r="M81" s="17">
        <f>'DADOS-Campanha'!M122*FS_MT*(1+IPNT_MT)*(1+FPE_MT)</f>
        <v>2.4210778564726567</v>
      </c>
      <c r="N81" s="17">
        <f>'DADOS-Campanha'!N122*FS_BT*(1+IPNT_BT)*(1+FPE_BT)</f>
        <v>26.037642409630283</v>
      </c>
      <c r="O81" s="79">
        <f t="shared" si="2"/>
        <v>28.45872026610294</v>
      </c>
    </row>
    <row r="82" spans="1:15" x14ac:dyDescent="0.2">
      <c r="A82" s="77">
        <f t="shared" si="3"/>
        <v>29.862096161267644</v>
      </c>
      <c r="B82" s="19">
        <v>0.76041666666666663</v>
      </c>
      <c r="C82" s="19">
        <v>0.77083333333333337</v>
      </c>
      <c r="D82" s="20">
        <v>74</v>
      </c>
      <c r="E82" s="58" t="str">
        <f>'DADOS-Campanha'!E123</f>
        <v>P</v>
      </c>
      <c r="F82" s="17">
        <f>'DADOS-Campanha'!F123</f>
        <v>0</v>
      </c>
      <c r="G82" s="17">
        <f>'DADOS-Campanha'!G123</f>
        <v>0</v>
      </c>
      <c r="H82" s="17">
        <f>'DADOS-Campanha'!H123</f>
        <v>6.4625667617565936</v>
      </c>
      <c r="I82" s="17">
        <f>'DADOS-Campanha'!I123</f>
        <v>18.811940641648619</v>
      </c>
      <c r="J82" s="85"/>
      <c r="K82" s="17">
        <f>'DADOS-Campanha'!K123*FS_AT2*(1+IPNT_AT2)*(1+FPE_AT2)</f>
        <v>0</v>
      </c>
      <c r="L82" s="17">
        <f>'DADOS-Campanha'!L123*FS_AT3*(1+IPNT_AT3)*(1+FPE_AT3)</f>
        <v>0</v>
      </c>
      <c r="M82" s="17">
        <f>'DADOS-Campanha'!M123*FS_MT*(1+IPNT_MT)*(1+FPE_MT)</f>
        <v>2.0859058551615801</v>
      </c>
      <c r="N82" s="17">
        <f>'DADOS-Campanha'!N123*FS_BT*(1+IPNT_BT)*(1+FPE_BT)</f>
        <v>27.776190306106063</v>
      </c>
      <c r="O82" s="79">
        <f t="shared" si="2"/>
        <v>29.862096161267644</v>
      </c>
    </row>
    <row r="83" spans="1:15" x14ac:dyDescent="0.2">
      <c r="A83" s="77">
        <f t="shared" si="3"/>
        <v>33.805411923690265</v>
      </c>
      <c r="B83" s="19">
        <v>0.77083333333333337</v>
      </c>
      <c r="C83" s="19">
        <v>0.78125</v>
      </c>
      <c r="D83" s="20">
        <v>75</v>
      </c>
      <c r="E83" s="58" t="str">
        <f>'DADOS-Campanha'!E124</f>
        <v>P</v>
      </c>
      <c r="F83" s="17">
        <f>'DADOS-Campanha'!F124</f>
        <v>0</v>
      </c>
      <c r="G83" s="17">
        <f>'DADOS-Campanha'!G124</f>
        <v>0</v>
      </c>
      <c r="H83" s="17">
        <f>'DADOS-Campanha'!H124</f>
        <v>7.2565939197270639</v>
      </c>
      <c r="I83" s="17">
        <f>'DADOS-Campanha'!I124</f>
        <v>18.646112813679782</v>
      </c>
      <c r="J83" s="85"/>
      <c r="K83" s="17">
        <f>'DADOS-Campanha'!K124*FS_AT2*(1+IPNT_AT2)*(1+FPE_AT2)</f>
        <v>0</v>
      </c>
      <c r="L83" s="17">
        <f>'DADOS-Campanha'!L124*FS_AT3*(1+IPNT_AT3)*(1+FPE_AT3)</f>
        <v>0</v>
      </c>
      <c r="M83" s="17">
        <f>'DADOS-Campanha'!M124*FS_MT*(1+IPNT_MT)*(1+FPE_MT)</f>
        <v>2.1143447842255281</v>
      </c>
      <c r="N83" s="17">
        <f>'DADOS-Campanha'!N124*FS_BT*(1+IPNT_BT)*(1+FPE_BT)</f>
        <v>31.691067139464735</v>
      </c>
      <c r="O83" s="79">
        <f t="shared" si="2"/>
        <v>33.805411923690265</v>
      </c>
    </row>
    <row r="84" spans="1:15" x14ac:dyDescent="0.2">
      <c r="A84" s="77">
        <f t="shared" si="3"/>
        <v>29.978040334788581</v>
      </c>
      <c r="B84" s="19">
        <v>0.78125</v>
      </c>
      <c r="C84" s="19">
        <v>0.79166666666666663</v>
      </c>
      <c r="D84" s="20">
        <v>76</v>
      </c>
      <c r="E84" s="58" t="str">
        <f>'DADOS-Campanha'!E125</f>
        <v>P</v>
      </c>
      <c r="F84" s="17">
        <f>'DADOS-Campanha'!F125</f>
        <v>0</v>
      </c>
      <c r="G84" s="17">
        <f>'DADOS-Campanha'!G125</f>
        <v>0</v>
      </c>
      <c r="H84" s="17">
        <f>'DADOS-Campanha'!H125</f>
        <v>7.6619248174984094</v>
      </c>
      <c r="I84" s="17">
        <f>'DADOS-Campanha'!I125</f>
        <v>20.438672659054486</v>
      </c>
      <c r="J84" s="85"/>
      <c r="K84" s="17">
        <f>'DADOS-Campanha'!K125*FS_AT2*(1+IPNT_AT2)*(1+FPE_AT2)</f>
        <v>0</v>
      </c>
      <c r="L84" s="17">
        <f>'DADOS-Campanha'!L125*FS_AT3*(1+IPNT_AT3)*(1+FPE_AT3)</f>
        <v>0</v>
      </c>
      <c r="M84" s="17">
        <f>'DADOS-Campanha'!M125*FS_MT*(1+IPNT_MT)*(1+FPE_MT)</f>
        <v>2.0660163756899892</v>
      </c>
      <c r="N84" s="17">
        <f>'DADOS-Campanha'!N125*FS_BT*(1+IPNT_BT)*(1+FPE_BT)</f>
        <v>27.91202395909859</v>
      </c>
      <c r="O84" s="79">
        <f t="shared" si="2"/>
        <v>29.978040334788581</v>
      </c>
    </row>
    <row r="85" spans="1:15" x14ac:dyDescent="0.2">
      <c r="A85" s="77">
        <f t="shared" si="3"/>
        <v>30.478723747761013</v>
      </c>
      <c r="B85" s="19">
        <v>0.79166666666666663</v>
      </c>
      <c r="C85" s="19">
        <v>0.80208333333333337</v>
      </c>
      <c r="D85" s="20">
        <v>77</v>
      </c>
      <c r="E85" s="58" t="str">
        <f>'DADOS-Campanha'!E126</f>
        <v>P</v>
      </c>
      <c r="F85" s="17">
        <f>'DADOS-Campanha'!F126</f>
        <v>0</v>
      </c>
      <c r="G85" s="17">
        <f>'DADOS-Campanha'!G126</f>
        <v>0</v>
      </c>
      <c r="H85" s="17">
        <f>'DADOS-Campanha'!H126</f>
        <v>7.6554976961722261</v>
      </c>
      <c r="I85" s="17">
        <f>'DADOS-Campanha'!I126</f>
        <v>22.366975384864844</v>
      </c>
      <c r="J85" s="85"/>
      <c r="K85" s="17">
        <f>'DADOS-Campanha'!K126*FS_AT2*(1+IPNT_AT2)*(1+FPE_AT2)</f>
        <v>0</v>
      </c>
      <c r="L85" s="17">
        <f>'DADOS-Campanha'!L126*FS_AT3*(1+IPNT_AT3)*(1+FPE_AT3)</f>
        <v>0</v>
      </c>
      <c r="M85" s="17">
        <f>'DADOS-Campanha'!M126*FS_MT*(1+IPNT_MT)*(1+FPE_MT)</f>
        <v>2.006566896149601</v>
      </c>
      <c r="N85" s="17">
        <f>'DADOS-Campanha'!N126*FS_BT*(1+IPNT_BT)*(1+FPE_BT)</f>
        <v>28.472156851611413</v>
      </c>
      <c r="O85" s="79">
        <f t="shared" si="2"/>
        <v>30.478723747761013</v>
      </c>
    </row>
    <row r="86" spans="1:15" x14ac:dyDescent="0.2">
      <c r="A86" s="77">
        <f t="shared" si="3"/>
        <v>28.401072788090769</v>
      </c>
      <c r="B86" s="19">
        <v>0.80208333333333337</v>
      </c>
      <c r="C86" s="19">
        <v>0.8125</v>
      </c>
      <c r="D86" s="20">
        <v>78</v>
      </c>
      <c r="E86" s="58" t="str">
        <f>'DADOS-Campanha'!E127</f>
        <v>P</v>
      </c>
      <c r="F86" s="17">
        <f>'DADOS-Campanha'!F127</f>
        <v>0</v>
      </c>
      <c r="G86" s="17">
        <f>'DADOS-Campanha'!G127</f>
        <v>0</v>
      </c>
      <c r="H86" s="17">
        <f>'DADOS-Campanha'!H127</f>
        <v>7.554089899049468</v>
      </c>
      <c r="I86" s="17">
        <f>'DADOS-Campanha'!I127</f>
        <v>23.952273074562026</v>
      </c>
      <c r="J86" s="85"/>
      <c r="K86" s="17">
        <f>'DADOS-Campanha'!K127*FS_AT2*(1+IPNT_AT2)*(1+FPE_AT2)</f>
        <v>0</v>
      </c>
      <c r="L86" s="17">
        <f>'DADOS-Campanha'!L127*FS_AT3*(1+IPNT_AT3)*(1+FPE_AT3)</f>
        <v>0</v>
      </c>
      <c r="M86" s="17">
        <f>'DADOS-Campanha'!M127*FS_MT*(1+IPNT_MT)*(1+FPE_MT)</f>
        <v>2.0334255688138092</v>
      </c>
      <c r="N86" s="17">
        <f>'DADOS-Campanha'!N127*FS_BT*(1+IPNT_BT)*(1+FPE_BT)</f>
        <v>26.367647219276961</v>
      </c>
      <c r="O86" s="79">
        <f t="shared" si="2"/>
        <v>28.401072788090769</v>
      </c>
    </row>
    <row r="87" spans="1:15" x14ac:dyDescent="0.2">
      <c r="A87" s="77">
        <f t="shared" si="3"/>
        <v>32.088365684197321</v>
      </c>
      <c r="B87" s="19">
        <v>0.8125</v>
      </c>
      <c r="C87" s="19">
        <v>0.82291666666666663</v>
      </c>
      <c r="D87" s="20">
        <v>79</v>
      </c>
      <c r="E87" s="58" t="str">
        <f>'DADOS-Campanha'!E128</f>
        <v>P</v>
      </c>
      <c r="F87" s="17">
        <f>'DADOS-Campanha'!F128</f>
        <v>0</v>
      </c>
      <c r="G87" s="17">
        <f>'DADOS-Campanha'!G128</f>
        <v>0</v>
      </c>
      <c r="H87" s="17">
        <f>'DADOS-Campanha'!H128</f>
        <v>7.2456546224685399</v>
      </c>
      <c r="I87" s="17">
        <f>'DADOS-Campanha'!I128</f>
        <v>21.922515709376128</v>
      </c>
      <c r="J87" s="85"/>
      <c r="K87" s="17">
        <f>'DADOS-Campanha'!K128*FS_AT2*(1+IPNT_AT2)*(1+FPE_AT2)</f>
        <v>0</v>
      </c>
      <c r="L87" s="17">
        <f>'DADOS-Campanha'!L128*FS_AT3*(1+IPNT_AT3)*(1+FPE_AT3)</f>
        <v>0</v>
      </c>
      <c r="M87" s="17">
        <f>'DADOS-Campanha'!M128*FS_MT*(1+IPNT_MT)*(1+FPE_MT)</f>
        <v>2.0368659780038119</v>
      </c>
      <c r="N87" s="17">
        <f>'DADOS-Campanha'!N128*FS_BT*(1+IPNT_BT)*(1+FPE_BT)</f>
        <v>30.051499706193507</v>
      </c>
      <c r="O87" s="79">
        <f t="shared" si="2"/>
        <v>32.088365684197321</v>
      </c>
    </row>
    <row r="88" spans="1:15" x14ac:dyDescent="0.2">
      <c r="A88" s="77">
        <f t="shared" si="3"/>
        <v>32.928478547174208</v>
      </c>
      <c r="B88" s="19">
        <v>0.82291666666666663</v>
      </c>
      <c r="C88" s="19">
        <v>0.83333333333333337</v>
      </c>
      <c r="D88" s="20">
        <v>80</v>
      </c>
      <c r="E88" s="58" t="str">
        <f>'DADOS-Campanha'!E129</f>
        <v>P</v>
      </c>
      <c r="F88" s="17">
        <f>'DADOS-Campanha'!F129</f>
        <v>0</v>
      </c>
      <c r="G88" s="17">
        <f>'DADOS-Campanha'!G129</f>
        <v>0</v>
      </c>
      <c r="H88" s="17">
        <f>'DADOS-Campanha'!H129</f>
        <v>7.1948093409736806</v>
      </c>
      <c r="I88" s="17">
        <f>'DADOS-Campanha'!I129</f>
        <v>22.313136429108262</v>
      </c>
      <c r="J88" s="85"/>
      <c r="K88" s="17">
        <f>'DADOS-Campanha'!K129*FS_AT2*(1+IPNT_AT2)*(1+FPE_AT2)</f>
        <v>0</v>
      </c>
      <c r="L88" s="17">
        <f>'DADOS-Campanha'!L129*FS_AT3*(1+IPNT_AT3)*(1+FPE_AT3)</f>
        <v>0</v>
      </c>
      <c r="M88" s="17">
        <f>'DADOS-Campanha'!M129*FS_MT*(1+IPNT_MT)*(1+FPE_MT)</f>
        <v>1.9509444656043911</v>
      </c>
      <c r="N88" s="17">
        <f>'DADOS-Campanha'!N129*FS_BT*(1+IPNT_BT)*(1+FPE_BT)</f>
        <v>30.977534081569818</v>
      </c>
      <c r="O88" s="79">
        <f t="shared" si="2"/>
        <v>32.928478547174208</v>
      </c>
    </row>
    <row r="89" spans="1:15" x14ac:dyDescent="0.2">
      <c r="A89" s="77">
        <f t="shared" si="3"/>
        <v>31.450958487402332</v>
      </c>
      <c r="B89" s="19">
        <v>0.83333333333333337</v>
      </c>
      <c r="C89" s="19">
        <v>0.84375</v>
      </c>
      <c r="D89" s="20">
        <v>81</v>
      </c>
      <c r="E89" s="58" t="str">
        <f>'DADOS-Campanha'!E130</f>
        <v>P</v>
      </c>
      <c r="F89" s="17">
        <f>'DADOS-Campanha'!F130</f>
        <v>0</v>
      </c>
      <c r="G89" s="17">
        <f>'DADOS-Campanha'!G130</f>
        <v>0</v>
      </c>
      <c r="H89" s="17">
        <f>'DADOS-Campanha'!H130</f>
        <v>7.0756614196229446</v>
      </c>
      <c r="I89" s="17">
        <f>'DADOS-Campanha'!I130</f>
        <v>23.215367990342319</v>
      </c>
      <c r="J89" s="85"/>
      <c r="K89" s="17">
        <f>'DADOS-Campanha'!K130*FS_AT2*(1+IPNT_AT2)*(1+FPE_AT2)</f>
        <v>0</v>
      </c>
      <c r="L89" s="17">
        <f>'DADOS-Campanha'!L130*FS_AT3*(1+IPNT_AT3)*(1+FPE_AT3)</f>
        <v>0</v>
      </c>
      <c r="M89" s="17">
        <f>'DADOS-Campanha'!M130*FS_MT*(1+IPNT_MT)*(1+FPE_MT)</f>
        <v>1.8880144999240951</v>
      </c>
      <c r="N89" s="17">
        <f>'DADOS-Campanha'!N130*FS_BT*(1+IPNT_BT)*(1+FPE_BT)</f>
        <v>29.562943987478235</v>
      </c>
      <c r="O89" s="79">
        <f t="shared" si="2"/>
        <v>31.450958487402332</v>
      </c>
    </row>
    <row r="90" spans="1:15" x14ac:dyDescent="0.2">
      <c r="A90" s="77">
        <f t="shared" si="3"/>
        <v>32.126555156991927</v>
      </c>
      <c r="B90" s="19">
        <v>0.84375</v>
      </c>
      <c r="C90" s="19">
        <v>0.85416666666666663</v>
      </c>
      <c r="D90" s="20">
        <v>82</v>
      </c>
      <c r="E90" s="58" t="str">
        <f>'DADOS-Campanha'!E131</f>
        <v>P</v>
      </c>
      <c r="F90" s="17">
        <f>'DADOS-Campanha'!F131</f>
        <v>0</v>
      </c>
      <c r="G90" s="17">
        <f>'DADOS-Campanha'!G131</f>
        <v>0</v>
      </c>
      <c r="H90" s="17">
        <f>'DADOS-Campanha'!H131</f>
        <v>6.6999183938118563</v>
      </c>
      <c r="I90" s="17">
        <f>'DADOS-Campanha'!I131</f>
        <v>21.430287095774503</v>
      </c>
      <c r="J90" s="85"/>
      <c r="K90" s="17">
        <f>'DADOS-Campanha'!K131*FS_AT2*(1+IPNT_AT2)*(1+FPE_AT2)</f>
        <v>0</v>
      </c>
      <c r="L90" s="17">
        <f>'DADOS-Campanha'!L131*FS_AT3*(1+IPNT_AT3)*(1+FPE_AT3)</f>
        <v>0</v>
      </c>
      <c r="M90" s="17">
        <f>'DADOS-Campanha'!M131*FS_MT*(1+IPNT_MT)*(1+FPE_MT)</f>
        <v>1.8306963947887991</v>
      </c>
      <c r="N90" s="17">
        <f>'DADOS-Campanha'!N131*FS_BT*(1+IPNT_BT)*(1+FPE_BT)</f>
        <v>30.295858762203128</v>
      </c>
      <c r="O90" s="79">
        <f t="shared" si="2"/>
        <v>32.126555156991927</v>
      </c>
    </row>
    <row r="91" spans="1:15" x14ac:dyDescent="0.2">
      <c r="A91" s="77">
        <f t="shared" si="3"/>
        <v>31.28618543907977</v>
      </c>
      <c r="B91" s="19">
        <v>0.85416666666666663</v>
      </c>
      <c r="C91" s="19">
        <v>0.86458333333333337</v>
      </c>
      <c r="D91" s="20">
        <v>83</v>
      </c>
      <c r="E91" s="58" t="str">
        <f>'DADOS-Campanha'!E132</f>
        <v>P</v>
      </c>
      <c r="F91" s="17">
        <f>'DADOS-Campanha'!F132</f>
        <v>0</v>
      </c>
      <c r="G91" s="17">
        <f>'DADOS-Campanha'!G132</f>
        <v>0</v>
      </c>
      <c r="H91" s="17">
        <f>'DADOS-Campanha'!H132</f>
        <v>5.6645164659737777</v>
      </c>
      <c r="I91" s="17">
        <f>'DADOS-Campanha'!I132</f>
        <v>21.890294842399481</v>
      </c>
      <c r="J91" s="85"/>
      <c r="K91" s="17">
        <f>'DADOS-Campanha'!K132*FS_AT2*(1+IPNT_AT2)*(1+FPE_AT2)</f>
        <v>0</v>
      </c>
      <c r="L91" s="17">
        <f>'DADOS-Campanha'!L132*FS_AT3*(1+IPNT_AT3)*(1+FPE_AT3)</f>
        <v>0</v>
      </c>
      <c r="M91" s="17">
        <f>'DADOS-Campanha'!M132*FS_MT*(1+IPNT_MT)*(1+FPE_MT)</f>
        <v>1.7157428829744397</v>
      </c>
      <c r="N91" s="17">
        <f>'DADOS-Campanha'!N132*FS_BT*(1+IPNT_BT)*(1+FPE_BT)</f>
        <v>29.570442556105331</v>
      </c>
      <c r="O91" s="79">
        <f t="shared" si="2"/>
        <v>31.28618543907977</v>
      </c>
    </row>
    <row r="92" spans="1:15" x14ac:dyDescent="0.2">
      <c r="A92" s="77">
        <f t="shared" si="3"/>
        <v>29.721901176190592</v>
      </c>
      <c r="B92" s="19">
        <v>0.86458333333333337</v>
      </c>
      <c r="C92" s="19">
        <v>0.875</v>
      </c>
      <c r="D92" s="20">
        <v>84</v>
      </c>
      <c r="E92" s="58" t="str">
        <f>'DADOS-Campanha'!E133</f>
        <v>P</v>
      </c>
      <c r="F92" s="17">
        <f>'DADOS-Campanha'!F133</f>
        <v>0</v>
      </c>
      <c r="G92" s="17">
        <f>'DADOS-Campanha'!G133</f>
        <v>0</v>
      </c>
      <c r="H92" s="17">
        <f>'DADOS-Campanha'!H133</f>
        <v>5.2546574067625382</v>
      </c>
      <c r="I92" s="17">
        <f>'DADOS-Campanha'!I133</f>
        <v>21.373782432336338</v>
      </c>
      <c r="J92" s="85"/>
      <c r="K92" s="17">
        <f>'DADOS-Campanha'!K133*FS_AT2*(1+IPNT_AT2)*(1+FPE_AT2)</f>
        <v>0</v>
      </c>
      <c r="L92" s="17">
        <f>'DADOS-Campanha'!L133*FS_AT3*(1+IPNT_AT3)*(1+FPE_AT3)</f>
        <v>0</v>
      </c>
      <c r="M92" s="17">
        <f>'DADOS-Campanha'!M133*FS_MT*(1+IPNT_MT)*(1+FPE_MT)</f>
        <v>1.76149540549897</v>
      </c>
      <c r="N92" s="17">
        <f>'DADOS-Campanha'!N133*FS_BT*(1+IPNT_BT)*(1+FPE_BT)</f>
        <v>27.960405770691622</v>
      </c>
      <c r="O92" s="79">
        <f t="shared" si="2"/>
        <v>29.721901176190592</v>
      </c>
    </row>
    <row r="93" spans="1:15" x14ac:dyDescent="0.2">
      <c r="A93" s="77">
        <f t="shared" si="3"/>
        <v>28.937059747141035</v>
      </c>
      <c r="B93" s="19">
        <v>0.875</v>
      </c>
      <c r="C93" s="19">
        <v>0.88541666666666663</v>
      </c>
      <c r="D93" s="20">
        <v>85</v>
      </c>
      <c r="E93" s="58" t="str">
        <f>'DADOS-Campanha'!E134</f>
        <v>FP</v>
      </c>
      <c r="F93" s="17">
        <f>'DADOS-Campanha'!F134</f>
        <v>0</v>
      </c>
      <c r="G93" s="17">
        <f>'DADOS-Campanha'!G134</f>
        <v>0</v>
      </c>
      <c r="H93" s="17">
        <f>'DADOS-Campanha'!H134</f>
        <v>5.1269470555098584</v>
      </c>
      <c r="I93" s="17">
        <f>'DADOS-Campanha'!I134</f>
        <v>21.177122397346089</v>
      </c>
      <c r="J93" s="85"/>
      <c r="K93" s="17">
        <f>'DADOS-Campanha'!K134*FS_AT2*(1+IPNT_AT2)*(1+FPE_AT2)</f>
        <v>0</v>
      </c>
      <c r="L93" s="17">
        <f>'DADOS-Campanha'!L134*FS_AT3*(1+IPNT_AT3)*(1+FPE_AT3)</f>
        <v>0</v>
      </c>
      <c r="M93" s="17">
        <f>'DADOS-Campanha'!M134*FS_MT*(1+IPNT_MT)*(1+FPE_MT)</f>
        <v>2.6909720679150513</v>
      </c>
      <c r="N93" s="17">
        <f>'DADOS-Campanha'!N134*FS_BT*(1+IPNT_BT)*(1+FPE_BT)</f>
        <v>26.246087679225983</v>
      </c>
      <c r="O93" s="79">
        <f t="shared" si="2"/>
        <v>28.937059747141035</v>
      </c>
    </row>
    <row r="94" spans="1:15" x14ac:dyDescent="0.2">
      <c r="A94" s="77">
        <f t="shared" si="3"/>
        <v>28.806468364680157</v>
      </c>
      <c r="B94" s="19">
        <v>0.88541666666666663</v>
      </c>
      <c r="C94" s="19">
        <v>0.89583333333333337</v>
      </c>
      <c r="D94" s="20">
        <v>86</v>
      </c>
      <c r="E94" s="58" t="str">
        <f>'DADOS-Campanha'!E135</f>
        <v>FP</v>
      </c>
      <c r="F94" s="17">
        <f>'DADOS-Campanha'!F135</f>
        <v>0</v>
      </c>
      <c r="G94" s="17">
        <f>'DADOS-Campanha'!G135</f>
        <v>0</v>
      </c>
      <c r="H94" s="17">
        <f>'DADOS-Campanha'!H135</f>
        <v>5.1167563536495466</v>
      </c>
      <c r="I94" s="17">
        <f>'DADOS-Campanha'!I135</f>
        <v>18.520216739952446</v>
      </c>
      <c r="J94" s="85"/>
      <c r="K94" s="17">
        <f>'DADOS-Campanha'!K135*FS_AT2*(1+IPNT_AT2)*(1+FPE_AT2)</f>
        <v>0</v>
      </c>
      <c r="L94" s="17">
        <f>'DADOS-Campanha'!L135*FS_AT3*(1+IPNT_AT3)*(1+FPE_AT3)</f>
        <v>0</v>
      </c>
      <c r="M94" s="17">
        <f>'DADOS-Campanha'!M135*FS_MT*(1+IPNT_MT)*(1+FPE_MT)</f>
        <v>3.5485174645752</v>
      </c>
      <c r="N94" s="17">
        <f>'DADOS-Campanha'!N135*FS_BT*(1+IPNT_BT)*(1+FPE_BT)</f>
        <v>25.257950900104959</v>
      </c>
      <c r="O94" s="79">
        <f t="shared" si="2"/>
        <v>28.806468364680157</v>
      </c>
    </row>
    <row r="95" spans="1:15" x14ac:dyDescent="0.2">
      <c r="A95" s="77">
        <f t="shared" si="3"/>
        <v>26.12113761835716</v>
      </c>
      <c r="B95" s="19">
        <v>0.89583333333333337</v>
      </c>
      <c r="C95" s="19">
        <v>0.90625</v>
      </c>
      <c r="D95" s="20">
        <v>87</v>
      </c>
      <c r="E95" s="58" t="str">
        <f>'DADOS-Campanha'!E136</f>
        <v>FP</v>
      </c>
      <c r="F95" s="17">
        <f>'DADOS-Campanha'!F136</f>
        <v>0</v>
      </c>
      <c r="G95" s="17">
        <f>'DADOS-Campanha'!G136</f>
        <v>0</v>
      </c>
      <c r="H95" s="17">
        <f>'DADOS-Campanha'!H136</f>
        <v>4.9271672867656626</v>
      </c>
      <c r="I95" s="17">
        <f>'DADOS-Campanha'!I136</f>
        <v>18.382180083013257</v>
      </c>
      <c r="J95" s="85"/>
      <c r="K95" s="17">
        <f>'DADOS-Campanha'!K136*FS_AT2*(1+IPNT_AT2)*(1+FPE_AT2)</f>
        <v>0</v>
      </c>
      <c r="L95" s="17">
        <f>'DADOS-Campanha'!L136*FS_AT3*(1+IPNT_AT3)*(1+FPE_AT3)</f>
        <v>0</v>
      </c>
      <c r="M95" s="17">
        <f>'DADOS-Campanha'!M136*FS_MT*(1+IPNT_MT)*(1+FPE_MT)</f>
        <v>3.5692204633126146</v>
      </c>
      <c r="N95" s="17">
        <f>'DADOS-Campanha'!N136*FS_BT*(1+IPNT_BT)*(1+FPE_BT)</f>
        <v>22.551917155044546</v>
      </c>
      <c r="O95" s="79">
        <f t="shared" si="2"/>
        <v>26.12113761835716</v>
      </c>
    </row>
    <row r="96" spans="1:15" x14ac:dyDescent="0.2">
      <c r="A96" s="77">
        <f t="shared" si="3"/>
        <v>25.797078604275466</v>
      </c>
      <c r="B96" s="19">
        <v>0.90625</v>
      </c>
      <c r="C96" s="19">
        <v>0.91666666666666663</v>
      </c>
      <c r="D96" s="20">
        <v>88</v>
      </c>
      <c r="E96" s="58" t="str">
        <f>'DADOS-Campanha'!E137</f>
        <v>FP</v>
      </c>
      <c r="F96" s="17">
        <f>'DADOS-Campanha'!F137</f>
        <v>0</v>
      </c>
      <c r="G96" s="17">
        <f>'DADOS-Campanha'!G137</f>
        <v>0</v>
      </c>
      <c r="H96" s="17">
        <f>'DADOS-Campanha'!H137</f>
        <v>4.6508957986734165</v>
      </c>
      <c r="I96" s="17">
        <f>'DADOS-Campanha'!I137</f>
        <v>18.334606479998993</v>
      </c>
      <c r="J96" s="85"/>
      <c r="K96" s="17">
        <f>'DADOS-Campanha'!K137*FS_AT2*(1+IPNT_AT2)*(1+FPE_AT2)</f>
        <v>0</v>
      </c>
      <c r="L96" s="17">
        <f>'DADOS-Campanha'!L137*FS_AT3*(1+IPNT_AT3)*(1+FPE_AT3)</f>
        <v>0</v>
      </c>
      <c r="M96" s="17">
        <f>'DADOS-Campanha'!M137*FS_MT*(1+IPNT_MT)*(1+FPE_MT)</f>
        <v>3.6054652604060591</v>
      </c>
      <c r="N96" s="17">
        <f>'DADOS-Campanha'!N137*FS_BT*(1+IPNT_BT)*(1+FPE_BT)</f>
        <v>22.191613343869406</v>
      </c>
      <c r="O96" s="79">
        <f t="shared" si="2"/>
        <v>25.797078604275466</v>
      </c>
    </row>
    <row r="97" spans="1:15" x14ac:dyDescent="0.2">
      <c r="A97" s="77">
        <f t="shared" si="3"/>
        <v>25.287602158150595</v>
      </c>
      <c r="B97" s="19">
        <v>0.91666666666666663</v>
      </c>
      <c r="C97" s="19">
        <v>0.92708333333333337</v>
      </c>
      <c r="D97" s="20">
        <v>89</v>
      </c>
      <c r="E97" s="58" t="str">
        <f>'DADOS-Campanha'!E138</f>
        <v>FP</v>
      </c>
      <c r="F97" s="17">
        <f>'DADOS-Campanha'!F138</f>
        <v>0</v>
      </c>
      <c r="G97" s="17">
        <f>'DADOS-Campanha'!G138</f>
        <v>0</v>
      </c>
      <c r="H97" s="17">
        <f>'DADOS-Campanha'!H138</f>
        <v>4.5464557283843492</v>
      </c>
      <c r="I97" s="17">
        <f>'DADOS-Campanha'!I138</f>
        <v>18.08364958871374</v>
      </c>
      <c r="J97" s="85"/>
      <c r="K97" s="17">
        <f>'DADOS-Campanha'!K138*FS_AT2*(1+IPNT_AT2)*(1+FPE_AT2)</f>
        <v>0</v>
      </c>
      <c r="L97" s="17">
        <f>'DADOS-Campanha'!L138*FS_AT3*(1+IPNT_AT3)*(1+FPE_AT3)</f>
        <v>0</v>
      </c>
      <c r="M97" s="17">
        <f>'DADOS-Campanha'!M138*FS_MT*(1+IPNT_MT)*(1+FPE_MT)</f>
        <v>3.662231802236557</v>
      </c>
      <c r="N97" s="17">
        <f>'DADOS-Campanha'!N138*FS_BT*(1+IPNT_BT)*(1+FPE_BT)</f>
        <v>21.625370355914036</v>
      </c>
      <c r="O97" s="79">
        <f t="shared" si="2"/>
        <v>25.287602158150595</v>
      </c>
    </row>
    <row r="98" spans="1:15" x14ac:dyDescent="0.2">
      <c r="A98" s="77">
        <f t="shared" si="3"/>
        <v>25.456542634881824</v>
      </c>
      <c r="B98" s="19">
        <v>0.92708333333333337</v>
      </c>
      <c r="C98" s="19">
        <v>0.9375</v>
      </c>
      <c r="D98" s="20">
        <v>90</v>
      </c>
      <c r="E98" s="58" t="str">
        <f>'DADOS-Campanha'!E139</f>
        <v>FP</v>
      </c>
      <c r="F98" s="17">
        <f>'DADOS-Campanha'!F139</f>
        <v>0</v>
      </c>
      <c r="G98" s="17">
        <f>'DADOS-Campanha'!G139</f>
        <v>0</v>
      </c>
      <c r="H98" s="17">
        <f>'DADOS-Campanha'!H139</f>
        <v>4.1901633945207211</v>
      </c>
      <c r="I98" s="17">
        <f>'DADOS-Campanha'!I139</f>
        <v>16.993201564449731</v>
      </c>
      <c r="J98" s="85"/>
      <c r="K98" s="17">
        <f>'DADOS-Campanha'!K139*FS_AT2*(1+IPNT_AT2)*(1+FPE_AT2)</f>
        <v>0</v>
      </c>
      <c r="L98" s="17">
        <f>'DADOS-Campanha'!L139*FS_AT3*(1+IPNT_AT3)*(1+FPE_AT3)</f>
        <v>0</v>
      </c>
      <c r="M98" s="17">
        <f>'DADOS-Campanha'!M139*FS_MT*(1+IPNT_MT)*(1+FPE_MT)</f>
        <v>3.537625303174607</v>
      </c>
      <c r="N98" s="17">
        <f>'DADOS-Campanha'!N139*FS_BT*(1+IPNT_BT)*(1+FPE_BT)</f>
        <v>21.918917331707217</v>
      </c>
      <c r="O98" s="79">
        <f t="shared" si="2"/>
        <v>25.456542634881824</v>
      </c>
    </row>
    <row r="99" spans="1:15" x14ac:dyDescent="0.2">
      <c r="A99" s="77">
        <f t="shared" si="3"/>
        <v>23.09729014819483</v>
      </c>
      <c r="B99" s="19">
        <v>0.9375</v>
      </c>
      <c r="C99" s="19">
        <v>0.94791666666666663</v>
      </c>
      <c r="D99" s="20">
        <v>91</v>
      </c>
      <c r="E99" s="58" t="str">
        <f>'DADOS-Campanha'!E140</f>
        <v>FP</v>
      </c>
      <c r="F99" s="17">
        <f>'DADOS-Campanha'!F140</f>
        <v>0</v>
      </c>
      <c r="G99" s="17">
        <f>'DADOS-Campanha'!G140</f>
        <v>0</v>
      </c>
      <c r="H99" s="17">
        <f>'DADOS-Campanha'!H140</f>
        <v>3.9781125581219743</v>
      </c>
      <c r="I99" s="17">
        <f>'DADOS-Campanha'!I140</f>
        <v>16.833907133908387</v>
      </c>
      <c r="J99" s="85"/>
      <c r="K99" s="17">
        <f>'DADOS-Campanha'!K140*FS_AT2*(1+IPNT_AT2)*(1+FPE_AT2)</f>
        <v>0</v>
      </c>
      <c r="L99" s="17">
        <f>'DADOS-Campanha'!L140*FS_AT3*(1+IPNT_AT3)*(1+FPE_AT3)</f>
        <v>0</v>
      </c>
      <c r="M99" s="17">
        <f>'DADOS-Campanha'!M140*FS_MT*(1+IPNT_MT)*(1+FPE_MT)</f>
        <v>3.4949784359835077</v>
      </c>
      <c r="N99" s="17">
        <f>'DADOS-Campanha'!N140*FS_BT*(1+IPNT_BT)*(1+FPE_BT)</f>
        <v>19.602311712211321</v>
      </c>
      <c r="O99" s="79">
        <f t="shared" si="2"/>
        <v>23.09729014819483</v>
      </c>
    </row>
    <row r="100" spans="1:15" x14ac:dyDescent="0.2">
      <c r="A100" s="77">
        <f t="shared" si="3"/>
        <v>22.098272978138315</v>
      </c>
      <c r="B100" s="19">
        <v>0.94791666666666663</v>
      </c>
      <c r="C100" s="19">
        <v>0.95833333333333337</v>
      </c>
      <c r="D100" s="20">
        <v>92</v>
      </c>
      <c r="E100" s="58" t="str">
        <f>'DADOS-Campanha'!E141</f>
        <v>FP</v>
      </c>
      <c r="F100" s="17">
        <f>'DADOS-Campanha'!F141</f>
        <v>0</v>
      </c>
      <c r="G100" s="17">
        <f>'DADOS-Campanha'!G141</f>
        <v>0</v>
      </c>
      <c r="H100" s="17">
        <f>'DADOS-Campanha'!H141</f>
        <v>3.7756507764436607</v>
      </c>
      <c r="I100" s="17">
        <f>'DADOS-Campanha'!I141</f>
        <v>15.157652655482899</v>
      </c>
      <c r="J100" s="85"/>
      <c r="K100" s="17">
        <f>'DADOS-Campanha'!K141*FS_AT2*(1+IPNT_AT2)*(1+FPE_AT2)</f>
        <v>0</v>
      </c>
      <c r="L100" s="17">
        <f>'DADOS-Campanha'!L141*FS_AT3*(1+IPNT_AT3)*(1+FPE_AT3)</f>
        <v>0</v>
      </c>
      <c r="M100" s="17">
        <f>'DADOS-Campanha'!M141*FS_MT*(1+IPNT_MT)*(1+FPE_MT)</f>
        <v>3.4378525032483886</v>
      </c>
      <c r="N100" s="17">
        <f>'DADOS-Campanha'!N141*FS_BT*(1+IPNT_BT)*(1+FPE_BT)</f>
        <v>18.660420474889925</v>
      </c>
      <c r="O100" s="79">
        <f t="shared" si="2"/>
        <v>22.098272978138315</v>
      </c>
    </row>
    <row r="101" spans="1:15" x14ac:dyDescent="0.2">
      <c r="A101" s="77">
        <f t="shared" si="3"/>
        <v>22.930189997592066</v>
      </c>
      <c r="B101" s="19">
        <v>0.95833333333333337</v>
      </c>
      <c r="C101" s="19">
        <v>0.96875</v>
      </c>
      <c r="D101" s="20">
        <v>93</v>
      </c>
      <c r="E101" s="58" t="str">
        <f>'DADOS-Campanha'!E142</f>
        <v>FP</v>
      </c>
      <c r="F101" s="17">
        <f>'DADOS-Campanha'!F142</f>
        <v>0</v>
      </c>
      <c r="G101" s="17">
        <f>'DADOS-Campanha'!G142</f>
        <v>0</v>
      </c>
      <c r="H101" s="17">
        <f>'DADOS-Campanha'!H142</f>
        <v>3.5241757708473824</v>
      </c>
      <c r="I101" s="17">
        <f>'DADOS-Campanha'!I142</f>
        <v>15.043217026235407</v>
      </c>
      <c r="J101" s="85"/>
      <c r="K101" s="17">
        <f>'DADOS-Campanha'!K142*FS_AT2*(1+IPNT_AT2)*(1+FPE_AT2)</f>
        <v>0</v>
      </c>
      <c r="L101" s="17">
        <f>'DADOS-Campanha'!L142*FS_AT3*(1+IPNT_AT3)*(1+FPE_AT3)</f>
        <v>0</v>
      </c>
      <c r="M101" s="17">
        <f>'DADOS-Campanha'!M142*FS_MT*(1+IPNT_MT)*(1+FPE_MT)</f>
        <v>3.311478233903776</v>
      </c>
      <c r="N101" s="17">
        <f>'DADOS-Campanha'!N142*FS_BT*(1+IPNT_BT)*(1+FPE_BT)</f>
        <v>19.618711763688289</v>
      </c>
      <c r="O101" s="79">
        <f t="shared" si="2"/>
        <v>22.930189997592066</v>
      </c>
    </row>
    <row r="102" spans="1:15" x14ac:dyDescent="0.2">
      <c r="A102" s="77">
        <f t="shared" si="3"/>
        <v>20.397374385921815</v>
      </c>
      <c r="B102" s="19">
        <v>0.96875</v>
      </c>
      <c r="C102" s="19">
        <v>0.97916666666666663</v>
      </c>
      <c r="D102" s="20">
        <v>94</v>
      </c>
      <c r="E102" s="58" t="str">
        <f>'DADOS-Campanha'!E143</f>
        <v>FP</v>
      </c>
      <c r="F102" s="17">
        <f>'DADOS-Campanha'!F143</f>
        <v>0</v>
      </c>
      <c r="G102" s="17">
        <f>'DADOS-Campanha'!G143</f>
        <v>0</v>
      </c>
      <c r="H102" s="17">
        <f>'DADOS-Campanha'!H143</f>
        <v>3.2877941630727507</v>
      </c>
      <c r="I102" s="17">
        <f>'DADOS-Campanha'!I143</f>
        <v>13.394972395523634</v>
      </c>
      <c r="J102" s="85"/>
      <c r="K102" s="17">
        <f>'DADOS-Campanha'!K143*FS_AT2*(1+IPNT_AT2)*(1+FPE_AT2)</f>
        <v>0</v>
      </c>
      <c r="L102" s="17">
        <f>'DADOS-Campanha'!L143*FS_AT3*(1+IPNT_AT3)*(1+FPE_AT3)</f>
        <v>0</v>
      </c>
      <c r="M102" s="17">
        <f>'DADOS-Campanha'!M143*FS_MT*(1+IPNT_MT)*(1+FPE_MT)</f>
        <v>3.1774847112502527</v>
      </c>
      <c r="N102" s="17">
        <f>'DADOS-Campanha'!N143*FS_BT*(1+IPNT_BT)*(1+FPE_BT)</f>
        <v>17.219889674671563</v>
      </c>
      <c r="O102" s="79">
        <f t="shared" si="2"/>
        <v>20.397374385921815</v>
      </c>
    </row>
    <row r="103" spans="1:15" x14ac:dyDescent="0.2">
      <c r="A103" s="77">
        <f t="shared" si="3"/>
        <v>17.842743650855841</v>
      </c>
      <c r="B103" s="19">
        <v>0.97916666666666663</v>
      </c>
      <c r="C103" s="19">
        <v>0.98958333333333337</v>
      </c>
      <c r="D103" s="20">
        <v>95</v>
      </c>
      <c r="E103" s="58" t="str">
        <f>'DADOS-Campanha'!E144</f>
        <v>FP</v>
      </c>
      <c r="F103" s="17">
        <f>'DADOS-Campanha'!F144</f>
        <v>0</v>
      </c>
      <c r="G103" s="17">
        <f>'DADOS-Campanha'!G144</f>
        <v>0</v>
      </c>
      <c r="H103" s="17">
        <f>'DADOS-Campanha'!H144</f>
        <v>3.0767555053301114</v>
      </c>
      <c r="I103" s="17">
        <f>'DADOS-Campanha'!I144</f>
        <v>13.073098945990958</v>
      </c>
      <c r="J103" s="85"/>
      <c r="K103" s="17">
        <f>'DADOS-Campanha'!K144*FS_AT2*(1+IPNT_AT2)*(1+FPE_AT2)</f>
        <v>0</v>
      </c>
      <c r="L103" s="17">
        <f>'DADOS-Campanha'!L144*FS_AT3*(1+IPNT_AT3)*(1+FPE_AT3)</f>
        <v>0</v>
      </c>
      <c r="M103" s="17">
        <f>'DADOS-Campanha'!M144*FS_MT*(1+IPNT_MT)*(1+FPE_MT)</f>
        <v>3.0354235786924741</v>
      </c>
      <c r="N103" s="17">
        <f>'DADOS-Campanha'!N144*FS_BT*(1+IPNT_BT)*(1+FPE_BT)</f>
        <v>14.807320072163366</v>
      </c>
      <c r="O103" s="79">
        <f t="shared" si="2"/>
        <v>17.842743650855841</v>
      </c>
    </row>
    <row r="104" spans="1:15" x14ac:dyDescent="0.2">
      <c r="A104" s="77">
        <f t="shared" si="3"/>
        <v>16.81712303903285</v>
      </c>
      <c r="B104" s="19">
        <v>0.98958333333333337</v>
      </c>
      <c r="C104" s="21">
        <v>0</v>
      </c>
      <c r="D104" s="20">
        <v>96</v>
      </c>
      <c r="E104" s="58" t="str">
        <f>'DADOS-Campanha'!E145</f>
        <v>FP</v>
      </c>
      <c r="F104" s="17">
        <f>'DADOS-Campanha'!F145</f>
        <v>0</v>
      </c>
      <c r="G104" s="17">
        <f>'DADOS-Campanha'!G145</f>
        <v>0</v>
      </c>
      <c r="H104" s="17">
        <f>'DADOS-Campanha'!H145</f>
        <v>2.8604543000894145</v>
      </c>
      <c r="I104" s="17">
        <f>'DADOS-Campanha'!I145</f>
        <v>12.271324308336794</v>
      </c>
      <c r="J104" s="85"/>
      <c r="K104" s="17">
        <f>'DADOS-Campanha'!K145*FS_AT2*(1+IPNT_AT2)*(1+FPE_AT2)</f>
        <v>0</v>
      </c>
      <c r="L104" s="17">
        <f>'DADOS-Campanha'!L145*FS_AT3*(1+IPNT_AT3)*(1+FPE_AT3)</f>
        <v>0</v>
      </c>
      <c r="M104" s="17">
        <f>'DADOS-Campanha'!M145*FS_MT*(1+IPNT_MT)*(1+FPE_MT)</f>
        <v>3.004508527819739</v>
      </c>
      <c r="N104" s="17">
        <f>'DADOS-Campanha'!N145*FS_BT*(1+IPNT_BT)*(1+FPE_BT)</f>
        <v>13.812614511213113</v>
      </c>
      <c r="O104" s="79">
        <f t="shared" si="2"/>
        <v>16.81712303903285</v>
      </c>
    </row>
    <row r="105" spans="1:15" ht="8.25" customHeight="1" x14ac:dyDescent="0.2">
      <c r="F105" s="16"/>
      <c r="G105" s="16"/>
      <c r="H105" s="16"/>
      <c r="K105" s="16"/>
      <c r="L105" s="16"/>
      <c r="M105" s="16"/>
      <c r="N105" s="16"/>
      <c r="O105" s="16"/>
    </row>
    <row r="106" spans="1:15" ht="13.5" thickBot="1" x14ac:dyDescent="0.25">
      <c r="B106" s="16"/>
      <c r="C106" s="80" t="s">
        <v>409</v>
      </c>
      <c r="F106" s="16"/>
      <c r="G106" s="16"/>
      <c r="H106" s="16"/>
    </row>
    <row r="107" spans="1:15" ht="13.5" thickBot="1" x14ac:dyDescent="0.25">
      <c r="B107" s="81" t="s">
        <v>408</v>
      </c>
      <c r="C107" s="82">
        <f>VLOOKUP(O107,A8:O104,4,FALSE)</f>
        <v>75</v>
      </c>
      <c r="F107" s="90">
        <f>VLOOKUP($C$107,$D$9:$O$104,3,FALSE)</f>
        <v>0</v>
      </c>
      <c r="G107" s="91">
        <f>VLOOKUP($C$107,$D$9:$O$104,4,FALSE)</f>
        <v>0</v>
      </c>
      <c r="H107" s="89">
        <f>VLOOKUP($C$107,$D$9:$O$104,5,FALSE)</f>
        <v>7.2565939197270639</v>
      </c>
      <c r="I107" s="60">
        <f>VLOOKUP($C$107,$D$9:$O$104,6,FALSE)</f>
        <v>18.646112813679782</v>
      </c>
      <c r="K107" s="60">
        <f>VLOOKUP($C$107,$D$9:$O$104,8,FALSE)</f>
        <v>0</v>
      </c>
      <c r="L107" s="60">
        <f>VLOOKUP($C$107,$D$9:$O$104,9,FALSE)</f>
        <v>0</v>
      </c>
      <c r="M107" s="60">
        <f>VLOOKUP($C$107,$D$9:$O$104,10,FALSE)</f>
        <v>2.1143447842255281</v>
      </c>
      <c r="N107" s="60">
        <f>VLOOKUP($C$107,$D$9:$O$104,11,FALSE)</f>
        <v>31.691067139464735</v>
      </c>
      <c r="O107" s="60">
        <f>MAX(O9:O104)</f>
        <v>33.805411923690265</v>
      </c>
    </row>
    <row r="108" spans="1:15" ht="13.5" thickBot="1" x14ac:dyDescent="0.25">
      <c r="B108" s="12" t="s">
        <v>410</v>
      </c>
      <c r="C108" s="3"/>
      <c r="F108" s="87">
        <f>IFERROR(ROUND(F107/SUM($F$107:$G$107),3),0)</f>
        <v>0</v>
      </c>
      <c r="G108" s="88">
        <f>IFERROR(ROUND(G107/SUM($F$107:$G$107),3),0)</f>
        <v>0</v>
      </c>
      <c r="H108" s="86">
        <v>1</v>
      </c>
      <c r="I108" s="83">
        <v>1</v>
      </c>
      <c r="K108" s="83">
        <f>ROUND(K107/$O$107,3)</f>
        <v>0</v>
      </c>
      <c r="L108" s="83">
        <f>ROUND(L107/$O$107,3)</f>
        <v>0</v>
      </c>
      <c r="M108" s="83">
        <f>ROUND(M107/$O$107,3)</f>
        <v>6.3E-2</v>
      </c>
      <c r="N108" s="83">
        <f>ROUND(N107/$O$107,3)</f>
        <v>0.93700000000000006</v>
      </c>
      <c r="O108" s="84"/>
    </row>
    <row r="110" spans="1:15" x14ac:dyDescent="0.2">
      <c r="F110" s="212"/>
    </row>
    <row r="113" spans="2:15" ht="15" x14ac:dyDescent="0.25">
      <c r="B113" s="92"/>
      <c r="C113" s="92"/>
      <c r="D113" s="92"/>
      <c r="E113" s="93"/>
      <c r="F113" s="93"/>
      <c r="G113" s="93"/>
      <c r="H113" s="93"/>
      <c r="I113" s="93"/>
      <c r="J113" s="94"/>
      <c r="K113" s="94"/>
      <c r="L113" s="94"/>
      <c r="M113" s="94"/>
      <c r="N113" s="93"/>
      <c r="O113" s="92"/>
    </row>
    <row r="114" spans="2:15" ht="15" x14ac:dyDescent="0.25">
      <c r="B114" s="92"/>
      <c r="C114" s="92"/>
      <c r="D114" s="92"/>
      <c r="E114" s="93"/>
      <c r="F114" s="93"/>
      <c r="G114" s="93"/>
      <c r="H114" s="95"/>
      <c r="I114" s="95"/>
      <c r="J114" s="94"/>
      <c r="K114" s="94"/>
      <c r="L114" s="94"/>
      <c r="M114" s="94"/>
      <c r="N114" s="93"/>
      <c r="O114" s="92"/>
    </row>
    <row r="115" spans="2:15" ht="15" x14ac:dyDescent="0.25">
      <c r="B115" s="92"/>
      <c r="C115" s="92"/>
      <c r="D115" s="92"/>
      <c r="E115" s="93"/>
      <c r="F115" s="93"/>
      <c r="G115" s="93"/>
      <c r="H115" s="95"/>
      <c r="I115" s="95"/>
      <c r="J115" s="96"/>
      <c r="K115" s="94"/>
      <c r="L115" s="94"/>
      <c r="M115" s="93"/>
      <c r="N115" s="97"/>
      <c r="O115" s="92"/>
    </row>
    <row r="116" spans="2:15" ht="15" x14ac:dyDescent="0.25">
      <c r="B116" s="92"/>
      <c r="C116" s="92"/>
      <c r="D116" s="92"/>
      <c r="E116" s="93"/>
      <c r="F116" s="93"/>
      <c r="G116" s="98"/>
      <c r="H116" s="95"/>
      <c r="I116" s="95"/>
      <c r="J116" s="94"/>
      <c r="K116" s="94"/>
      <c r="L116" s="94"/>
      <c r="M116" s="93"/>
      <c r="N116" s="99"/>
      <c r="O116" s="92"/>
    </row>
    <row r="117" spans="2:15" ht="16.5" customHeight="1" thickBot="1" x14ac:dyDescent="0.3">
      <c r="B117" s="92"/>
      <c r="C117" s="106" t="s">
        <v>416</v>
      </c>
      <c r="D117" s="100"/>
      <c r="E117" s="93"/>
      <c r="F117" s="93"/>
      <c r="G117" s="93"/>
      <c r="H117" s="95"/>
      <c r="I117" s="95"/>
      <c r="J117" s="94"/>
      <c r="K117" s="94"/>
      <c r="L117" s="94"/>
      <c r="M117" s="93"/>
      <c r="N117" s="101"/>
      <c r="O117" s="92"/>
    </row>
    <row r="118" spans="2:15" ht="15.75" thickBot="1" x14ac:dyDescent="0.3">
      <c r="B118" s="92"/>
      <c r="C118" s="111">
        <f>Inj_AT1</f>
        <v>0</v>
      </c>
      <c r="D118" s="93"/>
      <c r="E118" s="93"/>
      <c r="F118" s="93"/>
      <c r="G118" s="93"/>
      <c r="H118" s="95"/>
      <c r="I118" s="95"/>
      <c r="J118" s="95"/>
      <c r="K118" s="95"/>
      <c r="L118" s="95"/>
      <c r="M118" s="93"/>
      <c r="N118" s="101"/>
      <c r="O118" s="92"/>
    </row>
    <row r="119" spans="2:15" ht="15.75" thickBot="1" x14ac:dyDescent="0.3">
      <c r="B119" s="92"/>
      <c r="D119" s="93"/>
      <c r="E119" s="93"/>
      <c r="F119" s="93"/>
      <c r="G119" s="106" t="s">
        <v>417</v>
      </c>
      <c r="H119" s="92"/>
      <c r="I119" s="95"/>
      <c r="J119" s="95"/>
      <c r="K119" s="95"/>
      <c r="L119" s="95"/>
      <c r="M119" s="102"/>
      <c r="N119" s="106" t="s">
        <v>418</v>
      </c>
      <c r="O119" s="92"/>
    </row>
    <row r="120" spans="2:15" ht="15.75" thickBot="1" x14ac:dyDescent="0.3">
      <c r="B120" s="92"/>
      <c r="C120" s="106" t="s">
        <v>412</v>
      </c>
      <c r="D120" s="93"/>
      <c r="E120" s="93"/>
      <c r="F120" s="93"/>
      <c r="G120" s="105">
        <f>F_AT1_AT2</f>
        <v>0</v>
      </c>
      <c r="H120" s="92"/>
      <c r="I120" s="93"/>
      <c r="J120" s="103"/>
      <c r="K120" s="104"/>
      <c r="L120" s="93"/>
      <c r="M120" s="93"/>
      <c r="N120" s="113">
        <f>L_AT1</f>
        <v>0</v>
      </c>
      <c r="O120" s="92"/>
    </row>
    <row r="121" spans="2:15" ht="15.75" thickBot="1" x14ac:dyDescent="0.3">
      <c r="B121" s="92"/>
      <c r="C121" s="111">
        <f>Inj_AT2</f>
        <v>0</v>
      </c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101"/>
      <c r="O121" s="92"/>
    </row>
    <row r="122" spans="2:15" ht="15.75" thickBot="1" x14ac:dyDescent="0.3">
      <c r="B122" s="92"/>
      <c r="D122" s="93"/>
      <c r="E122" s="93"/>
      <c r="F122" s="106" t="s">
        <v>51</v>
      </c>
      <c r="G122" s="93"/>
      <c r="H122" s="93"/>
      <c r="I122" s="93"/>
      <c r="J122" s="93"/>
      <c r="K122" s="93"/>
      <c r="L122" s="93"/>
      <c r="M122" s="93"/>
      <c r="N122" s="106" t="s">
        <v>419</v>
      </c>
      <c r="O122" s="92"/>
    </row>
    <row r="123" spans="2:15" ht="15.75" thickBot="1" x14ac:dyDescent="0.3">
      <c r="B123" s="92"/>
      <c r="C123" s="106" t="s">
        <v>413</v>
      </c>
      <c r="D123" s="93"/>
      <c r="E123" s="93"/>
      <c r="F123" s="105">
        <f>F_AT2_AT3</f>
        <v>0</v>
      </c>
      <c r="G123" s="93"/>
      <c r="H123" s="93"/>
      <c r="I123" s="93"/>
      <c r="J123" s="93"/>
      <c r="K123" s="93"/>
      <c r="L123" s="93"/>
      <c r="M123" s="93"/>
      <c r="N123" s="113">
        <f>L_AT2</f>
        <v>0</v>
      </c>
      <c r="O123" s="92"/>
    </row>
    <row r="124" spans="2:15" ht="15.75" thickBot="1" x14ac:dyDescent="0.3">
      <c r="B124" s="92"/>
      <c r="C124" s="112">
        <f>InjAT3</f>
        <v>7.9</v>
      </c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101"/>
      <c r="O124" s="92"/>
    </row>
    <row r="125" spans="2:15" ht="15.75" thickBot="1" x14ac:dyDescent="0.3">
      <c r="B125" s="92"/>
      <c r="D125" s="93"/>
      <c r="E125" s="93"/>
      <c r="F125" s="93"/>
      <c r="G125" s="93"/>
      <c r="H125" s="93"/>
      <c r="I125" s="106" t="s">
        <v>52</v>
      </c>
      <c r="J125" s="93"/>
      <c r="K125" s="93"/>
      <c r="L125" s="106" t="s">
        <v>50</v>
      </c>
      <c r="M125" s="93"/>
      <c r="N125" s="106" t="s">
        <v>420</v>
      </c>
      <c r="O125" s="92"/>
    </row>
    <row r="126" spans="2:15" ht="15.75" thickBot="1" x14ac:dyDescent="0.3">
      <c r="B126" s="92"/>
      <c r="C126" s="106" t="s">
        <v>414</v>
      </c>
      <c r="D126" s="93"/>
      <c r="E126" s="93"/>
      <c r="F126" s="93"/>
      <c r="G126" s="93"/>
      <c r="H126" s="93"/>
      <c r="I126" s="105">
        <f>F_AT3_MT</f>
        <v>7.9</v>
      </c>
      <c r="K126" s="93"/>
      <c r="L126" s="105">
        <f>F_AT2_MT</f>
        <v>0</v>
      </c>
      <c r="M126" s="93"/>
      <c r="N126" s="113">
        <f>L_AT3</f>
        <v>0</v>
      </c>
      <c r="O126" s="92"/>
    </row>
    <row r="127" spans="2:15" ht="15.75" thickBot="1" x14ac:dyDescent="0.3">
      <c r="B127" s="92"/>
      <c r="C127" s="112">
        <f>InjMT</f>
        <v>17.510000000000002</v>
      </c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101"/>
      <c r="O127" s="92"/>
    </row>
    <row r="128" spans="2:15" ht="15.75" thickBot="1" x14ac:dyDescent="0.3">
      <c r="B128" s="92"/>
      <c r="D128" s="93"/>
      <c r="E128" s="93"/>
      <c r="F128" s="93"/>
      <c r="G128" s="93"/>
      <c r="H128" s="106" t="s">
        <v>49</v>
      </c>
      <c r="I128" s="93"/>
      <c r="J128" s="93"/>
      <c r="K128" s="93"/>
      <c r="L128" s="93"/>
      <c r="M128" s="93"/>
      <c r="N128" s="106" t="s">
        <v>421</v>
      </c>
      <c r="O128" s="92"/>
    </row>
    <row r="129" spans="2:15" ht="15.75" thickBot="1" x14ac:dyDescent="0.3">
      <c r="B129" s="92"/>
      <c r="C129" s="106" t="s">
        <v>415</v>
      </c>
      <c r="D129" s="93"/>
      <c r="E129" s="93"/>
      <c r="F129" s="92"/>
      <c r="G129" s="93"/>
      <c r="H129" s="105">
        <f>F_MT_BT</f>
        <v>23.810000000000002</v>
      </c>
      <c r="I129" s="93"/>
      <c r="J129" s="93"/>
      <c r="K129" s="93"/>
      <c r="L129" s="93"/>
      <c r="M129" s="93"/>
      <c r="N129" s="113">
        <f>L_MT</f>
        <v>1.6</v>
      </c>
      <c r="O129" s="92"/>
    </row>
    <row r="130" spans="2:15" ht="15.75" thickBot="1" x14ac:dyDescent="0.3">
      <c r="B130" s="92"/>
      <c r="C130" s="112">
        <f>InjBT</f>
        <v>0</v>
      </c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101"/>
      <c r="O130" s="92"/>
    </row>
    <row r="131" spans="2:15" ht="15.75" thickBot="1" x14ac:dyDescent="0.3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106" t="s">
        <v>422</v>
      </c>
      <c r="O131" s="92"/>
    </row>
    <row r="132" spans="2:15" ht="15.75" thickBot="1" x14ac:dyDescent="0.3">
      <c r="B132" s="92"/>
      <c r="C132" s="93"/>
      <c r="D132" s="93"/>
      <c r="E132" s="93"/>
      <c r="F132" s="97"/>
      <c r="G132" s="104"/>
      <c r="H132" s="104"/>
      <c r="I132" s="93"/>
      <c r="J132" s="93"/>
      <c r="K132" s="93"/>
      <c r="L132" s="93"/>
      <c r="M132" s="93"/>
      <c r="N132" s="113">
        <f>L_BT</f>
        <v>23.81</v>
      </c>
      <c r="O132" s="92"/>
    </row>
    <row r="133" spans="2:15" ht="15" x14ac:dyDescent="0.25"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101"/>
      <c r="O133" s="92"/>
    </row>
    <row r="134" spans="2:15" s="118" customFormat="1" ht="30" x14ac:dyDescent="0.25">
      <c r="B134" s="117"/>
      <c r="C134" s="117"/>
      <c r="E134" s="110"/>
      <c r="F134" s="110" t="s">
        <v>56</v>
      </c>
      <c r="G134" s="110" t="s">
        <v>7</v>
      </c>
      <c r="H134" s="119" t="s">
        <v>8</v>
      </c>
      <c r="I134" s="120" t="s">
        <v>6</v>
      </c>
      <c r="J134" s="120" t="s">
        <v>20</v>
      </c>
      <c r="K134" s="120" t="s">
        <v>411</v>
      </c>
      <c r="L134" s="120" t="s">
        <v>426</v>
      </c>
      <c r="M134" s="117"/>
      <c r="N134" s="117"/>
      <c r="O134" s="117"/>
    </row>
    <row r="135" spans="2:15" customFormat="1" ht="15" x14ac:dyDescent="0.25">
      <c r="B135" s="114"/>
      <c r="C135" s="114">
        <f>F_AT1_AT2</f>
        <v>0</v>
      </c>
      <c r="E135" s="107" t="s">
        <v>56</v>
      </c>
      <c r="F135" s="214"/>
      <c r="G135" s="213"/>
      <c r="H135" s="213"/>
      <c r="I135" s="213"/>
      <c r="J135" s="213"/>
      <c r="K135" s="116"/>
      <c r="L135" s="213">
        <f>Inj_AT1-L_AT1</f>
        <v>0</v>
      </c>
      <c r="M135" s="125"/>
      <c r="N135" s="114"/>
      <c r="O135" s="114"/>
    </row>
    <row r="136" spans="2:15" customFormat="1" ht="15" x14ac:dyDescent="0.25">
      <c r="B136" s="114"/>
      <c r="C136" s="114"/>
      <c r="E136" s="107" t="s">
        <v>7</v>
      </c>
      <c r="F136" s="215"/>
      <c r="G136" s="214">
        <f>ROUND('DADOS-Campanha'!C34,2)</f>
        <v>0</v>
      </c>
      <c r="H136" s="213"/>
      <c r="I136" s="213"/>
      <c r="J136" s="213"/>
      <c r="K136" s="116">
        <f>ROUND(K108*'DADOS-Campanha'!C38,2)</f>
        <v>0</v>
      </c>
      <c r="L136" s="213">
        <f>Inj_AT2+F_AT1_AT2-L_AT2</f>
        <v>0</v>
      </c>
      <c r="M136" s="126" t="str">
        <f>IF(L136-F_AT2_AT3-F_AT2_MT&lt;&gt;0,"desequilibrado","equilibrado")</f>
        <v>equilibrado</v>
      </c>
      <c r="N136" s="114"/>
      <c r="O136" s="114"/>
    </row>
    <row r="137" spans="2:15" customFormat="1" ht="15" x14ac:dyDescent="0.25">
      <c r="B137" s="114"/>
      <c r="C137" s="114"/>
      <c r="E137" s="108" t="s">
        <v>8</v>
      </c>
      <c r="F137" s="216"/>
      <c r="G137" s="215">
        <f>IF(F107&gt;0,L136*F108,0)</f>
        <v>0</v>
      </c>
      <c r="H137" s="214">
        <f>ROUND('DADOS-Campanha'!C35,2)</f>
        <v>7.9</v>
      </c>
      <c r="I137" s="213"/>
      <c r="J137" s="213"/>
      <c r="K137" s="116">
        <f>ROUND(L108*'DADOS-Campanha'!C38,2)</f>
        <v>0</v>
      </c>
      <c r="L137" s="213">
        <f>InjAT3+F_AT2_AT3-L_AT3</f>
        <v>7.9</v>
      </c>
      <c r="M137" s="126" t="str">
        <f>IF(L137-F_AT3_MT&lt;&gt;0,"desequilibrado","equilibrado")</f>
        <v>equilibrado</v>
      </c>
      <c r="N137" s="114"/>
      <c r="O137" s="114"/>
    </row>
    <row r="138" spans="2:15" customFormat="1" ht="15" x14ac:dyDescent="0.25">
      <c r="B138" s="114"/>
      <c r="C138" s="114"/>
      <c r="E138" s="109" t="s">
        <v>6</v>
      </c>
      <c r="F138" s="216"/>
      <c r="G138" s="215">
        <f>IF(G107&gt;0,L136*G108,0)</f>
        <v>0</v>
      </c>
      <c r="H138" s="215">
        <f>L137</f>
        <v>7.9</v>
      </c>
      <c r="I138" s="214">
        <f>ROUND('DADOS-Campanha'!C36,2)</f>
        <v>17.510000000000002</v>
      </c>
      <c r="J138" s="213"/>
      <c r="K138" s="116">
        <f>ROUND(M108*'DADOS-Campanha'!C38,2)</f>
        <v>1.6</v>
      </c>
      <c r="L138" s="213">
        <f>InjMT+F_AT3_MT+F_AT2_MT-L_MT</f>
        <v>23.810000000000002</v>
      </c>
      <c r="M138" s="126" t="str">
        <f>IF(L138-F_MT_BT&lt;&gt;0,"desequilibrado","equilibrado")</f>
        <v>equilibrado</v>
      </c>
      <c r="N138" s="114"/>
      <c r="O138" s="114"/>
    </row>
    <row r="139" spans="2:15" customFormat="1" ht="15" x14ac:dyDescent="0.25">
      <c r="B139" s="114"/>
      <c r="C139" s="114"/>
      <c r="E139" s="109" t="s">
        <v>20</v>
      </c>
      <c r="F139" s="216"/>
      <c r="G139" s="216"/>
      <c r="H139" s="216"/>
      <c r="I139" s="215">
        <f>L138</f>
        <v>23.810000000000002</v>
      </c>
      <c r="J139" s="217">
        <f>ROUND('DADOS-Campanha'!C37,2)</f>
        <v>0</v>
      </c>
      <c r="K139" s="116">
        <f>ROUND(N108*'DADOS-Campanha'!C38,2)</f>
        <v>23.81</v>
      </c>
      <c r="L139" s="213">
        <f>InjBT+F_MT_BT-L_BT</f>
        <v>0</v>
      </c>
      <c r="M139" s="127" t="str">
        <f>IF(L139&lt;&gt;0,"desequilibrado","equilibrado")</f>
        <v>equilibrado</v>
      </c>
      <c r="N139" s="114"/>
      <c r="O139" s="114"/>
    </row>
    <row r="140" spans="2:15" customFormat="1" ht="18.75" customHeight="1" x14ac:dyDescent="0.25">
      <c r="B140" s="114"/>
      <c r="C140" s="114"/>
      <c r="E140" s="10"/>
      <c r="F140" s="122"/>
      <c r="G140" s="122"/>
      <c r="H140" s="122"/>
      <c r="I140" s="122"/>
      <c r="J140" s="123" t="s">
        <v>427</v>
      </c>
      <c r="K140" s="124" t="s">
        <v>411</v>
      </c>
      <c r="L140" s="122"/>
      <c r="M140" s="114"/>
      <c r="N140" s="114"/>
      <c r="O140" s="114"/>
    </row>
    <row r="141" spans="2:15" customFormat="1" ht="15" x14ac:dyDescent="0.25">
      <c r="E141" s="109" t="s">
        <v>53</v>
      </c>
      <c r="F141" s="115"/>
      <c r="G141" s="115"/>
      <c r="H141" s="115"/>
      <c r="I141" s="115"/>
      <c r="J141" s="121">
        <f>'DADOS-Campanha'!C38</f>
        <v>25.405722900390625</v>
      </c>
      <c r="K141" s="116">
        <f>SUM(K135:K139)</f>
        <v>25.41</v>
      </c>
      <c r="L141" s="115"/>
    </row>
  </sheetData>
  <mergeCells count="2">
    <mergeCell ref="B8:C8"/>
    <mergeCell ref="D8:E8"/>
  </mergeCells>
  <conditionalFormatting sqref="E9:E104">
    <cfRule type="cellIs" dxfId="151" priority="18" operator="equal">
      <formula>"P"</formula>
    </cfRule>
  </conditionalFormatting>
  <conditionalFormatting sqref="O108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K108:N10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{43B498D3-139C-44AC-A223-71FB77314B24}</x14:id>
        </ext>
      </extLst>
    </cfRule>
  </conditionalFormatting>
  <conditionalFormatting sqref="F108:G10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{EDD55B07-DC53-4852-BFF7-14661C5B8C28}</x14:id>
        </ext>
      </extLst>
    </cfRule>
  </conditionalFormatting>
  <conditionalFormatting sqref="M136:M139">
    <cfRule type="containsText" dxfId="150" priority="1" operator="containsText" text="desequilibrado">
      <formula>NOT(ISERROR(SEARCH("desequilibrado",M136)))</formula>
    </cfRule>
    <cfRule type="containsText" dxfId="149" priority="2" operator="containsText" text="equilibrado">
      <formula>NOT(ISERROR(SEARCH("equilibrado",M136)))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B498D3-139C-44AC-A223-71FB77314B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K108:N108</xm:sqref>
        </x14:conditionalFormatting>
        <x14:conditionalFormatting xmlns:xm="http://schemas.microsoft.com/office/excel/2006/main">
          <x14:cfRule type="dataBar" id="{EDD55B07-DC53-4852-BFF7-14661C5B8C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F108:G108</xm:sqref>
        </x14:conditionalFormatting>
        <x14:conditionalFormatting xmlns:xm="http://schemas.microsoft.com/office/excel/2006/main">
          <x14:cfRule type="iconSet" priority="19" id="{B9D239C8-0EFA-4ED3-B877-AADDCC96D2AC}">
            <x14:iconSet iconSet="3Arrows" custom="1">
              <x14:cfvo type="percent">
                <xm:f>0</xm:f>
              </x14:cfvo>
              <x14:cfvo type="percent" gte="0">
                <xm:f>$O$107</xm:f>
              </x14:cfvo>
              <x14:cfvo type="num">
                <xm:f>$O$107</xm:f>
              </x14:cfvo>
              <x14:cfIcon iconSet="NoIcons" iconId="0"/>
              <x14:cfIcon iconSet="NoIcons" iconId="0"/>
              <x14:cfIcon iconSet="3Symbols" iconId="2"/>
            </x14:iconSet>
          </x14:cfRule>
          <xm:sqref>O9:O104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9">
    <tabColor theme="9" tint="-0.249977111117893"/>
  </sheetPr>
  <dimension ref="B1:S91"/>
  <sheetViews>
    <sheetView showGridLines="0" topLeftCell="A70" workbookViewId="0">
      <selection activeCell="K100" sqref="K100"/>
    </sheetView>
  </sheetViews>
  <sheetFormatPr defaultColWidth="9.140625" defaultRowHeight="12.75" x14ac:dyDescent="0.2"/>
  <cols>
    <col min="1" max="1" width="0.5703125" style="2" customWidth="1"/>
    <col min="2" max="2" width="33.140625" style="2" customWidth="1"/>
    <col min="3" max="3" width="16" style="2" bestFit="1" customWidth="1"/>
    <col min="4" max="4" width="14.5703125" style="2" bestFit="1" customWidth="1"/>
    <col min="5" max="5" width="13.5703125" style="2" bestFit="1" customWidth="1"/>
    <col min="6" max="6" width="15.5703125" style="2" customWidth="1"/>
    <col min="7" max="8" width="14.5703125" style="2" bestFit="1" customWidth="1"/>
    <col min="9" max="11" width="15.140625" style="2" bestFit="1" customWidth="1"/>
    <col min="12" max="12" width="13.5703125" style="2" bestFit="1" customWidth="1"/>
    <col min="13" max="14" width="13.28515625" style="2" bestFit="1" customWidth="1"/>
    <col min="15" max="15" width="11.85546875" style="2" bestFit="1" customWidth="1"/>
    <col min="16" max="16" width="15.7109375" style="2" bestFit="1" customWidth="1"/>
    <col min="17" max="17" width="23" style="2" bestFit="1" customWidth="1"/>
    <col min="18" max="18" width="17.28515625" style="2" customWidth="1"/>
    <col min="19" max="19" width="23" style="2" bestFit="1" customWidth="1"/>
    <col min="20" max="16384" width="9.140625" style="2"/>
  </cols>
  <sheetData>
    <row r="1" spans="2:19" x14ac:dyDescent="0.2">
      <c r="G1" s="22"/>
      <c r="H1" s="23"/>
    </row>
    <row r="2" spans="2:19" x14ac:dyDescent="0.2">
      <c r="B2" s="1" t="s">
        <v>428</v>
      </c>
      <c r="C2" s="1"/>
      <c r="F2" s="24" t="s">
        <v>62</v>
      </c>
      <c r="G2" s="9">
        <v>2</v>
      </c>
      <c r="H2" s="792"/>
      <c r="I2" s="792"/>
      <c r="J2" s="792"/>
      <c r="K2" s="792"/>
    </row>
    <row r="3" spans="2:19" ht="12.75" customHeight="1" x14ac:dyDescent="0.2">
      <c r="B3" s="1"/>
      <c r="C3" s="1"/>
      <c r="F3" s="24" t="s">
        <v>63</v>
      </c>
      <c r="G3" s="31">
        <v>44714</v>
      </c>
      <c r="H3" s="793"/>
      <c r="I3" s="793"/>
      <c r="J3" s="793"/>
      <c r="K3" s="793"/>
    </row>
    <row r="4" spans="2:19" ht="3.75" customHeight="1" x14ac:dyDescent="0.2">
      <c r="B4" s="1"/>
      <c r="C4" s="1"/>
    </row>
    <row r="5" spans="2:19" x14ac:dyDescent="0.2">
      <c r="B5" s="1"/>
      <c r="C5" s="1"/>
      <c r="G5" s="1"/>
      <c r="H5" s="1"/>
    </row>
    <row r="6" spans="2:19" ht="2.25" customHeight="1" x14ac:dyDescent="0.2">
      <c r="B6" s="795" t="s">
        <v>429</v>
      </c>
      <c r="C6" s="795"/>
      <c r="D6" s="795"/>
      <c r="E6" s="795"/>
      <c r="F6" s="795"/>
      <c r="G6" s="795"/>
      <c r="H6" s="795"/>
      <c r="I6" s="795"/>
      <c r="J6" s="795"/>
      <c r="K6" s="795"/>
      <c r="L6" s="795"/>
      <c r="M6" s="795"/>
      <c r="N6" s="795"/>
      <c r="O6" s="795"/>
      <c r="P6" s="795"/>
      <c r="Q6" s="795"/>
      <c r="R6" s="795"/>
      <c r="S6" s="795"/>
    </row>
    <row r="7" spans="2:19" x14ac:dyDescent="0.2">
      <c r="B7" s="795"/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</row>
    <row r="8" spans="2:19" x14ac:dyDescent="0.2">
      <c r="B8" s="794"/>
      <c r="C8" s="790" t="s">
        <v>430</v>
      </c>
      <c r="D8" s="790"/>
      <c r="E8" s="790"/>
      <c r="F8" s="790"/>
      <c r="G8" s="790"/>
      <c r="H8" s="790"/>
      <c r="I8" s="790"/>
      <c r="J8" s="790"/>
      <c r="K8" s="790"/>
      <c r="L8" s="790"/>
      <c r="M8" s="790"/>
      <c r="N8" s="790"/>
      <c r="O8" s="790"/>
      <c r="P8" s="790"/>
      <c r="Q8" s="790"/>
      <c r="R8" s="790"/>
      <c r="S8" s="790"/>
    </row>
    <row r="9" spans="2:19" ht="38.25" x14ac:dyDescent="0.2">
      <c r="B9" s="794"/>
      <c r="C9" s="72" t="s">
        <v>432</v>
      </c>
      <c r="D9" s="72" t="s">
        <v>433</v>
      </c>
      <c r="E9" s="72" t="s">
        <v>434</v>
      </c>
      <c r="F9" s="72" t="s">
        <v>435</v>
      </c>
      <c r="G9" s="72" t="s">
        <v>436</v>
      </c>
      <c r="H9" s="42" t="s">
        <v>437</v>
      </c>
      <c r="I9" s="42" t="s">
        <v>438</v>
      </c>
      <c r="J9" s="42" t="s">
        <v>439</v>
      </c>
      <c r="K9" s="72" t="s">
        <v>441</v>
      </c>
      <c r="L9" s="72" t="s">
        <v>440</v>
      </c>
      <c r="M9" s="72" t="s">
        <v>442</v>
      </c>
      <c r="N9" s="24" t="s">
        <v>103</v>
      </c>
      <c r="O9" s="72" t="s">
        <v>102</v>
      </c>
      <c r="P9" s="128" t="s">
        <v>444</v>
      </c>
      <c r="Q9" s="128" t="s">
        <v>445</v>
      </c>
      <c r="R9" s="128" t="s">
        <v>446</v>
      </c>
      <c r="S9" s="128" t="s">
        <v>447</v>
      </c>
    </row>
    <row r="10" spans="2:19" x14ac:dyDescent="0.2">
      <c r="B10" s="43" t="s">
        <v>431</v>
      </c>
      <c r="C10" s="375">
        <f>'DADOS-Diversos'!$C$7</f>
        <v>8.6997714782192315E-2</v>
      </c>
      <c r="D10" s="375">
        <f>'DADOS-Diversos'!$C$7</f>
        <v>8.6997714782192315E-2</v>
      </c>
      <c r="E10" s="375">
        <f>'DADOS-Diversos'!$C$7</f>
        <v>8.6997714782192315E-2</v>
      </c>
      <c r="F10" s="375">
        <f>'DADOS-Diversos'!$C$7</f>
        <v>8.6997714782192315E-2</v>
      </c>
      <c r="G10" s="375">
        <f>'DADOS-Diversos'!$C$7</f>
        <v>8.6997714782192315E-2</v>
      </c>
      <c r="H10" s="375">
        <f>'DADOS-Diversos'!$C$7</f>
        <v>8.6997714782192315E-2</v>
      </c>
      <c r="I10" s="375">
        <f>'DADOS-Diversos'!$C$7</f>
        <v>8.6997714782192315E-2</v>
      </c>
      <c r="J10" s="375">
        <f>'DADOS-Diversos'!$C$7</f>
        <v>8.6997714782192315E-2</v>
      </c>
      <c r="K10" s="375">
        <f>'DADOS-Diversos'!$C$7</f>
        <v>8.6997714782192315E-2</v>
      </c>
      <c r="L10" s="375">
        <f>'DADOS-Diversos'!$C$7</f>
        <v>8.6997714782192315E-2</v>
      </c>
      <c r="M10" s="375">
        <f>'DADOS-Diversos'!$C$7</f>
        <v>8.6997714782192315E-2</v>
      </c>
      <c r="N10" s="375">
        <f>'DADOS-Diversos'!$C$7</f>
        <v>8.6997714782192315E-2</v>
      </c>
      <c r="O10" s="375">
        <f>'DADOS-Diversos'!$C$7</f>
        <v>8.6997714782192315E-2</v>
      </c>
      <c r="P10" s="375">
        <f>'DADOS-Diversos'!$C$7</f>
        <v>8.6997714782192315E-2</v>
      </c>
      <c r="Q10" s="375">
        <f>'DADOS-Diversos'!$C$7</f>
        <v>8.6997714782192315E-2</v>
      </c>
      <c r="R10" s="375">
        <f>'DADOS-Diversos'!$C$7</f>
        <v>8.6997714782192315E-2</v>
      </c>
      <c r="S10" s="375">
        <f>'DADOS-Diversos'!$C$7</f>
        <v>8.6997714782192315E-2</v>
      </c>
    </row>
    <row r="11" spans="2:19" x14ac:dyDescent="0.2">
      <c r="B11" s="43" t="s">
        <v>443</v>
      </c>
      <c r="C11" s="527">
        <v>28</v>
      </c>
      <c r="D11" s="527">
        <v>28</v>
      </c>
      <c r="E11" s="527">
        <v>28</v>
      </c>
      <c r="F11" s="527">
        <v>28</v>
      </c>
      <c r="G11" s="527">
        <v>28</v>
      </c>
      <c r="H11" s="527">
        <v>35</v>
      </c>
      <c r="I11" s="527">
        <v>35</v>
      </c>
      <c r="J11" s="527">
        <v>35</v>
      </c>
      <c r="K11" s="527">
        <v>28</v>
      </c>
      <c r="L11" s="527">
        <v>28</v>
      </c>
      <c r="M11" s="527">
        <v>28</v>
      </c>
      <c r="N11" s="527">
        <v>28.57</v>
      </c>
      <c r="O11" s="527">
        <v>28.57</v>
      </c>
      <c r="P11" s="527">
        <v>25</v>
      </c>
      <c r="Q11" s="527">
        <v>25</v>
      </c>
      <c r="R11" s="527">
        <v>25</v>
      </c>
      <c r="S11" s="527">
        <v>25</v>
      </c>
    </row>
    <row r="12" spans="2:19" x14ac:dyDescent="0.2">
      <c r="B12" s="43" t="s">
        <v>448</v>
      </c>
      <c r="C12" s="528">
        <f t="shared" ref="C12:S12" si="0">((C10+1)^C11*C10)/((C10+1)^C11-1)</f>
        <v>9.6315068145396684E-2</v>
      </c>
      <c r="D12" s="528">
        <f t="shared" si="0"/>
        <v>9.6315068145396684E-2</v>
      </c>
      <c r="E12" s="528">
        <f t="shared" si="0"/>
        <v>9.6315068145396684E-2</v>
      </c>
      <c r="F12" s="528">
        <f t="shared" si="0"/>
        <v>9.6315068145396684E-2</v>
      </c>
      <c r="G12" s="528">
        <f t="shared" si="0"/>
        <v>9.6315068145396684E-2</v>
      </c>
      <c r="H12" s="528">
        <f t="shared" si="0"/>
        <v>9.1958975342584404E-2</v>
      </c>
      <c r="I12" s="528">
        <f t="shared" si="0"/>
        <v>9.1958975342584404E-2</v>
      </c>
      <c r="J12" s="528">
        <f t="shared" si="0"/>
        <v>9.1958975342584404E-2</v>
      </c>
      <c r="K12" s="528">
        <f t="shared" si="0"/>
        <v>9.6315068145396684E-2</v>
      </c>
      <c r="L12" s="528">
        <f t="shared" si="0"/>
        <v>9.6315068145396684E-2</v>
      </c>
      <c r="M12" s="528">
        <f t="shared" si="0"/>
        <v>9.6315068145396684E-2</v>
      </c>
      <c r="N12" s="528">
        <f t="shared" si="0"/>
        <v>9.5838436730716181E-2</v>
      </c>
      <c r="O12" s="528">
        <f t="shared" si="0"/>
        <v>9.5838436730716181E-2</v>
      </c>
      <c r="P12" s="528">
        <f t="shared" si="0"/>
        <v>9.9340415407160237E-2</v>
      </c>
      <c r="Q12" s="528">
        <f t="shared" si="0"/>
        <v>9.9340415407160237E-2</v>
      </c>
      <c r="R12" s="528">
        <f t="shared" si="0"/>
        <v>9.9340415407160237E-2</v>
      </c>
      <c r="S12" s="528">
        <f t="shared" si="0"/>
        <v>9.9340415407160237E-2</v>
      </c>
    </row>
    <row r="13" spans="2:19" x14ac:dyDescent="0.2">
      <c r="B13" s="43" t="s">
        <v>449</v>
      </c>
      <c r="C13" s="529">
        <v>0.05</v>
      </c>
      <c r="D13" s="529">
        <v>0.05</v>
      </c>
      <c r="E13" s="529">
        <v>0.05</v>
      </c>
      <c r="F13" s="529">
        <v>0.05</v>
      </c>
      <c r="G13" s="529">
        <v>0.05</v>
      </c>
      <c r="H13" s="529">
        <v>0.05</v>
      </c>
      <c r="I13" s="529">
        <v>0.05</v>
      </c>
      <c r="J13" s="529">
        <v>0.05</v>
      </c>
      <c r="K13" s="529">
        <v>0.05</v>
      </c>
      <c r="L13" s="529">
        <v>0.05</v>
      </c>
      <c r="M13" s="529">
        <v>0.05</v>
      </c>
      <c r="N13" s="529">
        <v>0.05</v>
      </c>
      <c r="O13" s="529">
        <v>0.05</v>
      </c>
      <c r="P13" s="529">
        <v>0.05</v>
      </c>
      <c r="Q13" s="529">
        <v>0.05</v>
      </c>
      <c r="R13" s="529">
        <v>0.05</v>
      </c>
      <c r="S13" s="529">
        <v>0.05</v>
      </c>
    </row>
    <row r="14" spans="2:19" x14ac:dyDescent="0.2">
      <c r="B14" s="43" t="s">
        <v>450</v>
      </c>
      <c r="C14" s="528">
        <f t="shared" ref="C14:S14" si="1">C13+C12</f>
        <v>0.14631506814539669</v>
      </c>
      <c r="D14" s="528">
        <f t="shared" si="1"/>
        <v>0.14631506814539669</v>
      </c>
      <c r="E14" s="528">
        <f t="shared" si="1"/>
        <v>0.14631506814539669</v>
      </c>
      <c r="F14" s="528">
        <f t="shared" si="1"/>
        <v>0.14631506814539669</v>
      </c>
      <c r="G14" s="528">
        <f t="shared" si="1"/>
        <v>0.14631506814539669</v>
      </c>
      <c r="H14" s="528">
        <f t="shared" si="1"/>
        <v>0.14195897534258439</v>
      </c>
      <c r="I14" s="528">
        <f t="shared" si="1"/>
        <v>0.14195897534258439</v>
      </c>
      <c r="J14" s="528">
        <f t="shared" si="1"/>
        <v>0.14195897534258439</v>
      </c>
      <c r="K14" s="528">
        <f t="shared" si="1"/>
        <v>0.14631506814539669</v>
      </c>
      <c r="L14" s="528">
        <f t="shared" si="1"/>
        <v>0.14631506814539669</v>
      </c>
      <c r="M14" s="528">
        <f t="shared" si="1"/>
        <v>0.14631506814539669</v>
      </c>
      <c r="N14" s="528">
        <f t="shared" si="1"/>
        <v>0.14583843673071617</v>
      </c>
      <c r="O14" s="528">
        <f t="shared" si="1"/>
        <v>0.14583843673071617</v>
      </c>
      <c r="P14" s="528">
        <f t="shared" si="1"/>
        <v>0.14934041540716025</v>
      </c>
      <c r="Q14" s="528">
        <f t="shared" si="1"/>
        <v>0.14934041540716025</v>
      </c>
      <c r="R14" s="528">
        <f t="shared" si="1"/>
        <v>0.14934041540716025</v>
      </c>
      <c r="S14" s="528">
        <f t="shared" si="1"/>
        <v>0.14934041540716025</v>
      </c>
    </row>
    <row r="16" spans="2:19" x14ac:dyDescent="0.2">
      <c r="C16" s="1"/>
    </row>
    <row r="17" spans="2:15" x14ac:dyDescent="0.2">
      <c r="B17" s="1" t="s">
        <v>452</v>
      </c>
      <c r="C17" s="1"/>
    </row>
    <row r="18" spans="2:15" ht="3.75" customHeight="1" x14ac:dyDescent="0.2">
      <c r="B18" s="1"/>
      <c r="C18" s="1"/>
    </row>
    <row r="19" spans="2:15" x14ac:dyDescent="0.2">
      <c r="B19" s="1" t="s">
        <v>106</v>
      </c>
      <c r="C19" s="1"/>
      <c r="E19" s="1" t="s">
        <v>107</v>
      </c>
      <c r="J19" s="1" t="s">
        <v>108</v>
      </c>
    </row>
    <row r="20" spans="2:15" ht="4.5" customHeight="1" x14ac:dyDescent="0.2">
      <c r="C20" s="1"/>
    </row>
    <row r="21" spans="2:15" x14ac:dyDescent="0.2">
      <c r="B21" s="24" t="s">
        <v>58</v>
      </c>
      <c r="C21" s="24" t="s">
        <v>453</v>
      </c>
      <c r="E21" s="24" t="s">
        <v>58</v>
      </c>
      <c r="F21" s="24" t="s">
        <v>78</v>
      </c>
      <c r="G21" s="24" t="s">
        <v>453</v>
      </c>
      <c r="H21" s="24" t="s">
        <v>453</v>
      </c>
      <c r="J21" s="24" t="s">
        <v>58</v>
      </c>
      <c r="K21" s="24" t="s">
        <v>453</v>
      </c>
      <c r="L21" s="24" t="s">
        <v>453</v>
      </c>
      <c r="N21" s="129"/>
      <c r="O21" s="129"/>
    </row>
    <row r="22" spans="2:15" x14ac:dyDescent="0.2">
      <c r="B22" s="24"/>
      <c r="C22" s="24"/>
      <c r="E22" s="24"/>
      <c r="F22" s="24"/>
      <c r="G22" s="24" t="s">
        <v>455</v>
      </c>
      <c r="H22" s="24" t="s">
        <v>456</v>
      </c>
      <c r="J22" s="24"/>
      <c r="K22" s="24" t="s">
        <v>103</v>
      </c>
      <c r="L22" s="24" t="s">
        <v>102</v>
      </c>
      <c r="N22" s="129"/>
      <c r="O22" s="129"/>
    </row>
    <row r="23" spans="2:15" ht="13.5" thickBot="1" x14ac:dyDescent="0.25">
      <c r="B23" s="376"/>
      <c r="C23" s="376" t="s">
        <v>29</v>
      </c>
      <c r="E23" s="24"/>
      <c r="F23" s="24"/>
      <c r="G23" s="24" t="s">
        <v>29</v>
      </c>
      <c r="H23" s="24" t="s">
        <v>29</v>
      </c>
      <c r="J23" s="24"/>
      <c r="K23" s="24" t="s">
        <v>29</v>
      </c>
      <c r="L23" s="24" t="s">
        <v>29</v>
      </c>
      <c r="N23" s="129"/>
      <c r="O23" s="129"/>
    </row>
    <row r="24" spans="2:15" x14ac:dyDescent="0.2">
      <c r="B24" s="377" t="s">
        <v>56</v>
      </c>
      <c r="C24" s="378">
        <f>'DADOS-Ativos e Custos'!D9*'DADOS-Ativos e Custos'!F9</f>
        <v>0</v>
      </c>
      <c r="E24" s="28" t="s">
        <v>51</v>
      </c>
      <c r="F24" s="139">
        <f>'DADOS-Ativos e Custos'!K9</f>
        <v>0</v>
      </c>
      <c r="G24" s="17">
        <f>'DADOS-Ativos e Custos'!K9*'DADOS-Ativos e Custos'!N9</f>
        <v>0</v>
      </c>
      <c r="H24" s="17">
        <f>'DADOS-Ativos e Custos'!L9*'DADOS-Ativos e Custos'!O9</f>
        <v>0</v>
      </c>
      <c r="J24" s="25" t="s">
        <v>56</v>
      </c>
      <c r="K24" s="17">
        <f>'DADOS-Ativos e Custos'!K26*'DADOS-Ativos e Custos'!N26</f>
        <v>0</v>
      </c>
      <c r="L24" s="17">
        <f>'DADOS-Ativos e Custos'!L26*'DADOS-Ativos e Custos'!O26</f>
        <v>0</v>
      </c>
    </row>
    <row r="25" spans="2:15" x14ac:dyDescent="0.2">
      <c r="B25" s="379" t="s">
        <v>466</v>
      </c>
      <c r="C25" s="380">
        <f>'DADOS-Ativos e Custos'!D10*'DADOS-Ativos e Custos'!F10</f>
        <v>0</v>
      </c>
      <c r="E25" s="28" t="s">
        <v>50</v>
      </c>
      <c r="F25" s="139">
        <f>'DADOS-Ativos e Custos'!K10</f>
        <v>0</v>
      </c>
      <c r="G25" s="17">
        <f>'DADOS-Ativos e Custos'!K10*'DADOS-Ativos e Custos'!N10</f>
        <v>0</v>
      </c>
      <c r="H25" s="17">
        <f>'DADOS-Ativos e Custos'!L10*'DADOS-Ativos e Custos'!O10</f>
        <v>0</v>
      </c>
      <c r="J25" s="25" t="s">
        <v>466</v>
      </c>
      <c r="K25" s="17">
        <f>'DADOS-Ativos e Custos'!K27*'DADOS-Ativos e Custos'!N27</f>
        <v>0</v>
      </c>
      <c r="L25" s="17">
        <f>'DADOS-Ativos e Custos'!L27*'DADOS-Ativos e Custos'!O27</f>
        <v>0</v>
      </c>
    </row>
    <row r="26" spans="2:15" x14ac:dyDescent="0.2">
      <c r="B26" s="379" t="s">
        <v>467</v>
      </c>
      <c r="C26" s="380">
        <f>'DADOS-Ativos e Custos'!D11*'DADOS-Ativos e Custos'!F11</f>
        <v>0</v>
      </c>
      <c r="E26" s="29" t="s">
        <v>52</v>
      </c>
      <c r="F26" s="139">
        <f>'DADOS-Ativos e Custos'!K11</f>
        <v>1</v>
      </c>
      <c r="G26" s="17">
        <f>'DADOS-Ativos e Custos'!K11*'DADOS-Ativos e Custos'!N11</f>
        <v>6318308.1554751433</v>
      </c>
      <c r="H26" s="17">
        <f>'DADOS-Ativos e Custos'!L11*'DADOS-Ativos e Custos'!O11</f>
        <v>3096749.1535847816</v>
      </c>
      <c r="J26" s="25" t="s">
        <v>467</v>
      </c>
      <c r="K26" s="17">
        <f>'DADOS-Ativos e Custos'!K28*'DADOS-Ativos e Custos'!N28</f>
        <v>0</v>
      </c>
      <c r="L26" s="17">
        <f>'DADOS-Ativos e Custos'!L28*'DADOS-Ativos e Custos'!O28</f>
        <v>0</v>
      </c>
    </row>
    <row r="27" spans="2:15" ht="13.5" thickBot="1" x14ac:dyDescent="0.25">
      <c r="B27" s="381" t="s">
        <v>8</v>
      </c>
      <c r="C27" s="382">
        <f>'DADOS-Ativos e Custos'!D12*'DADOS-Ativos e Custos'!F12</f>
        <v>270671.225972171</v>
      </c>
      <c r="E27" s="29" t="s">
        <v>83</v>
      </c>
      <c r="F27" s="139">
        <f>'DADOS-Ativos e Custos'!K12</f>
        <v>0</v>
      </c>
      <c r="G27" s="17">
        <f>'DADOS-Ativos e Custos'!K12*'DADOS-Ativos e Custos'!N12</f>
        <v>0</v>
      </c>
      <c r="H27" s="17">
        <f>'DADOS-Ativos e Custos'!L12*'DADOS-Ativos e Custos'!O12</f>
        <v>0</v>
      </c>
      <c r="J27" s="131" t="s">
        <v>8</v>
      </c>
      <c r="K27" s="17">
        <f>'DADOS-Ativos e Custos'!K29*'DADOS-Ativos e Custos'!N29</f>
        <v>276149.325402299</v>
      </c>
      <c r="L27" s="17">
        <f>'DADOS-Ativos e Custos'!L29*'DADOS-Ativos e Custos'!O29</f>
        <v>668027.60088495037</v>
      </c>
    </row>
    <row r="28" spans="2:15" x14ac:dyDescent="0.2">
      <c r="B28" s="383" t="s">
        <v>67</v>
      </c>
      <c r="C28" s="378">
        <f>'DADOS-Ativos e Custos'!D13*'DADOS-Ativos e Custos'!F13</f>
        <v>19256820.352019999</v>
      </c>
      <c r="E28" s="29" t="s">
        <v>84</v>
      </c>
      <c r="F28" s="139">
        <f>'DADOS-Ativos e Custos'!K13</f>
        <v>0</v>
      </c>
      <c r="G28" s="17">
        <f>'DADOS-Ativos e Custos'!K13*'DADOS-Ativos e Custos'!N13</f>
        <v>0</v>
      </c>
      <c r="H28" s="17">
        <f>'DADOS-Ativos e Custos'!L13*'DADOS-Ativos e Custos'!O13</f>
        <v>0</v>
      </c>
      <c r="J28" s="3" t="s">
        <v>6</v>
      </c>
      <c r="K28" s="17">
        <f>'DADOS-Ativos e Custos'!K30*'DADOS-Ativos e Custos'!N30</f>
        <v>724311.86260014912</v>
      </c>
      <c r="L28" s="17">
        <f>'DADOS-Ativos e Custos'!L30*'DADOS-Ativos e Custos'!O30</f>
        <v>115481.87754047112</v>
      </c>
    </row>
    <row r="29" spans="2:15" x14ac:dyDescent="0.2">
      <c r="B29" s="384" t="s">
        <v>68</v>
      </c>
      <c r="C29" s="380">
        <f>'DADOS-Ativos e Custos'!D14*'DADOS-Ativos e Custos'!F14</f>
        <v>0</v>
      </c>
      <c r="E29" s="29" t="s">
        <v>85</v>
      </c>
      <c r="F29" s="139">
        <f>'DADOS-Ativos e Custos'!K14</f>
        <v>0</v>
      </c>
      <c r="G29" s="17">
        <f>'DADOS-Ativos e Custos'!K14*'DADOS-Ativos e Custos'!N14</f>
        <v>0</v>
      </c>
      <c r="H29" s="17">
        <f>'DADOS-Ativos e Custos'!L14*'DADOS-Ativos e Custos'!O14</f>
        <v>0</v>
      </c>
      <c r="J29" s="3" t="s">
        <v>20</v>
      </c>
      <c r="K29" s="17">
        <f>'DADOS-Ativos e Custos'!K31*'DADOS-Ativos e Custos'!N31</f>
        <v>0</v>
      </c>
      <c r="L29" s="17">
        <f>'DADOS-Ativos e Custos'!L31*'DADOS-Ativos e Custos'!O31</f>
        <v>0</v>
      </c>
    </row>
    <row r="30" spans="2:15" x14ac:dyDescent="0.2">
      <c r="B30" s="384" t="s">
        <v>69</v>
      </c>
      <c r="C30" s="380">
        <f>'DADOS-Ativos e Custos'!D15*'DADOS-Ativos e Custos'!F15</f>
        <v>0</v>
      </c>
    </row>
    <row r="31" spans="2:15" x14ac:dyDescent="0.2">
      <c r="B31" s="385" t="s">
        <v>96</v>
      </c>
      <c r="C31" s="386">
        <f>'DADOS-Ativos e Custos'!D16*'DADOS-Ativos e Custos'!F16</f>
        <v>0</v>
      </c>
      <c r="E31" s="24" t="s">
        <v>58</v>
      </c>
      <c r="F31" s="24" t="s">
        <v>453</v>
      </c>
      <c r="G31" s="24" t="s">
        <v>453</v>
      </c>
    </row>
    <row r="32" spans="2:15" x14ac:dyDescent="0.2">
      <c r="B32" s="385" t="s">
        <v>97</v>
      </c>
      <c r="C32" s="386">
        <f>'DADOS-Ativos e Custos'!D17*'DADOS-Ativos e Custos'!F17</f>
        <v>0</v>
      </c>
      <c r="E32" s="24"/>
      <c r="F32" s="24" t="s">
        <v>457</v>
      </c>
      <c r="G32" s="24" t="s">
        <v>88</v>
      </c>
      <c r="I32" s="147"/>
    </row>
    <row r="33" spans="2:15" ht="13.5" thickBot="1" x14ac:dyDescent="0.25">
      <c r="B33" s="387" t="s">
        <v>95</v>
      </c>
      <c r="C33" s="388">
        <f>'DADOS-Ativos e Custos'!D18*'DADOS-Ativos e Custos'!F18</f>
        <v>0</v>
      </c>
      <c r="E33" s="24"/>
      <c r="F33" s="24" t="s">
        <v>29</v>
      </c>
      <c r="G33" s="24" t="s">
        <v>29</v>
      </c>
    </row>
    <row r="34" spans="2:15" x14ac:dyDescent="0.2">
      <c r="B34" s="383" t="s">
        <v>70</v>
      </c>
      <c r="C34" s="378">
        <f>'DADOS-Ativos e Custos'!D19*'DADOS-Ativos e Custos'!F19</f>
        <v>24188242.704600003</v>
      </c>
      <c r="E34" s="131" t="s">
        <v>497</v>
      </c>
      <c r="F34" s="17">
        <f>'DADOS-Ativos e Custos'!K20*'DADOS-Ativos e Custos'!N20</f>
        <v>2759569.4000000004</v>
      </c>
      <c r="G34" s="17">
        <f>'DADOS-Ativos e Custos'!L20*'DADOS-Ativos e Custos'!O20</f>
        <v>7317629</v>
      </c>
    </row>
    <row r="35" spans="2:15" x14ac:dyDescent="0.2">
      <c r="B35" s="384" t="s">
        <v>71</v>
      </c>
      <c r="C35" s="380">
        <f>'DADOS-Ativos e Custos'!D20*'DADOS-Ativos e Custos'!F20</f>
        <v>548115.59039999999</v>
      </c>
      <c r="E35" s="131" t="s">
        <v>498</v>
      </c>
      <c r="F35" s="17">
        <f>'DADOS-Ativos e Custos'!K21*'DADOS-Ativos e Custos'!N21</f>
        <v>0</v>
      </c>
      <c r="G35" s="17">
        <f>'DADOS-Ativos e Custos'!L21*'DADOS-Ativos e Custos'!O21</f>
        <v>0</v>
      </c>
    </row>
    <row r="36" spans="2:15" x14ac:dyDescent="0.2">
      <c r="B36" s="384" t="s">
        <v>72</v>
      </c>
      <c r="C36" s="380">
        <f>'DADOS-Ativos e Custos'!D21*'DADOS-Ativos e Custos'!F21</f>
        <v>1828678.8842451188</v>
      </c>
    </row>
    <row r="37" spans="2:15" x14ac:dyDescent="0.2">
      <c r="B37" s="385" t="s">
        <v>98</v>
      </c>
      <c r="C37" s="386">
        <f>'DADOS-Ativos e Custos'!D22*'DADOS-Ativos e Custos'!F22</f>
        <v>0</v>
      </c>
    </row>
    <row r="38" spans="2:15" x14ac:dyDescent="0.2">
      <c r="B38" s="385" t="s">
        <v>99</v>
      </c>
      <c r="C38" s="386">
        <f>'DADOS-Ativos e Custos'!D23*'DADOS-Ativos e Custos'!F23</f>
        <v>0</v>
      </c>
    </row>
    <row r="39" spans="2:15" ht="13.5" thickBot="1" x14ac:dyDescent="0.25">
      <c r="B39" s="387" t="s">
        <v>100</v>
      </c>
      <c r="C39" s="388">
        <f>'DADOS-Ativos e Custos'!D24*'DADOS-Ativos e Custos'!F24</f>
        <v>0</v>
      </c>
    </row>
    <row r="40" spans="2:15" x14ac:dyDescent="0.2">
      <c r="B40" s="1"/>
      <c r="C40" s="1"/>
      <c r="I40" s="1"/>
    </row>
    <row r="41" spans="2:15" x14ac:dyDescent="0.2">
      <c r="B41" s="24" t="s">
        <v>458</v>
      </c>
      <c r="C41" s="24" t="s">
        <v>29</v>
      </c>
      <c r="I41" s="129"/>
      <c r="J41" s="129"/>
      <c r="K41" s="129"/>
      <c r="L41" s="129"/>
      <c r="N41" s="129"/>
      <c r="O41" s="129"/>
    </row>
    <row r="42" spans="2:15" x14ac:dyDescent="0.2">
      <c r="B42" s="12" t="s">
        <v>465</v>
      </c>
      <c r="C42" s="70">
        <f>C24+K24</f>
        <v>0</v>
      </c>
      <c r="I42" s="129"/>
      <c r="J42" s="129"/>
      <c r="K42" s="129"/>
      <c r="L42" s="129"/>
      <c r="N42" s="129"/>
      <c r="O42" s="129"/>
    </row>
    <row r="43" spans="2:15" x14ac:dyDescent="0.2">
      <c r="B43" s="12" t="s">
        <v>461</v>
      </c>
      <c r="C43" s="70">
        <f>C25+C26+K25+K26</f>
        <v>0</v>
      </c>
      <c r="I43" s="132"/>
      <c r="J43" s="130"/>
      <c r="K43" s="133"/>
      <c r="L43" s="133"/>
      <c r="N43" s="133"/>
      <c r="O43" s="133"/>
    </row>
    <row r="44" spans="2:15" x14ac:dyDescent="0.2">
      <c r="B44" s="12" t="s">
        <v>462</v>
      </c>
      <c r="C44" s="70">
        <f>C27+K27</f>
        <v>546820.55137447</v>
      </c>
      <c r="I44" s="132"/>
      <c r="J44" s="130"/>
      <c r="K44" s="133"/>
      <c r="L44" s="133"/>
      <c r="N44" s="133"/>
      <c r="O44" s="133"/>
    </row>
    <row r="45" spans="2:15" x14ac:dyDescent="0.2">
      <c r="B45" s="12" t="s">
        <v>463</v>
      </c>
      <c r="C45" s="70">
        <f>C28+C29+C30+C31+C32+C33+K28</f>
        <v>19981132.214620147</v>
      </c>
      <c r="I45" s="132"/>
      <c r="J45" s="130"/>
      <c r="K45" s="133"/>
      <c r="L45" s="133"/>
      <c r="N45" s="133"/>
      <c r="O45" s="133"/>
    </row>
    <row r="46" spans="2:15" x14ac:dyDescent="0.2">
      <c r="B46" s="12" t="s">
        <v>464</v>
      </c>
      <c r="C46" s="70">
        <f>C34+C35+C36+C37+C38+C39+K29</f>
        <v>26565037.179245122</v>
      </c>
      <c r="I46" s="134"/>
      <c r="J46" s="135"/>
      <c r="K46" s="133"/>
      <c r="L46" s="133"/>
      <c r="N46" s="133"/>
      <c r="O46" s="133"/>
    </row>
    <row r="47" spans="2:15" x14ac:dyDescent="0.2">
      <c r="B47" s="12" t="s">
        <v>459</v>
      </c>
      <c r="C47" s="70">
        <f>G24+G25+G26+G27+G28+G29+H24+H25+H26+H27+H28+H29+L24+L25+L26+L27+L28</f>
        <v>10198566.787485346</v>
      </c>
      <c r="J47" s="136"/>
      <c r="K47" s="133"/>
      <c r="L47" s="133"/>
      <c r="N47" s="133"/>
      <c r="O47" s="133"/>
    </row>
    <row r="48" spans="2:15" x14ac:dyDescent="0.2">
      <c r="B48" s="12" t="s">
        <v>460</v>
      </c>
      <c r="C48" s="70">
        <f>F34+F35+G34+G35+L29</f>
        <v>10077198.4</v>
      </c>
      <c r="J48" s="136"/>
      <c r="K48" s="133"/>
      <c r="L48" s="133"/>
      <c r="N48" s="133"/>
      <c r="O48" s="133"/>
    </row>
    <row r="49" spans="2:12" x14ac:dyDescent="0.2">
      <c r="B49" s="12" t="s">
        <v>53</v>
      </c>
      <c r="C49" s="4">
        <f>SUM(C42:C48)</f>
        <v>67368755.13272509</v>
      </c>
    </row>
    <row r="50" spans="2:12" x14ac:dyDescent="0.2">
      <c r="B50" s="1"/>
      <c r="C50" s="1"/>
    </row>
    <row r="51" spans="2:12" x14ac:dyDescent="0.2">
      <c r="B51" s="1"/>
      <c r="C51" s="1"/>
    </row>
    <row r="52" spans="2:12" ht="25.5" x14ac:dyDescent="0.2">
      <c r="B52" s="137" t="s">
        <v>468</v>
      </c>
      <c r="C52" s="24" t="s">
        <v>451</v>
      </c>
      <c r="D52" s="24" t="s">
        <v>469</v>
      </c>
      <c r="E52" s="24" t="s">
        <v>479</v>
      </c>
      <c r="F52" s="24" t="s">
        <v>490</v>
      </c>
      <c r="G52" s="24" t="s">
        <v>481</v>
      </c>
      <c r="H52" s="24" t="s">
        <v>491</v>
      </c>
      <c r="I52" s="24" t="s">
        <v>478</v>
      </c>
      <c r="J52" s="24" t="s">
        <v>477</v>
      </c>
      <c r="K52" s="24" t="s">
        <v>489</v>
      </c>
    </row>
    <row r="53" spans="2:12" x14ac:dyDescent="0.2">
      <c r="B53" s="12" t="s">
        <v>472</v>
      </c>
      <c r="C53" s="60">
        <f>(C25+C26)</f>
        <v>0</v>
      </c>
      <c r="D53" s="60">
        <f>K25+K26</f>
        <v>0</v>
      </c>
      <c r="E53" s="60">
        <f>H29</f>
        <v>0</v>
      </c>
      <c r="F53" s="60">
        <f>H27</f>
        <v>0</v>
      </c>
      <c r="G53" s="60">
        <f>G29</f>
        <v>0</v>
      </c>
      <c r="H53" s="60">
        <f>G27</f>
        <v>0</v>
      </c>
      <c r="I53" s="60">
        <f>IFERROR(L27*F29/(F24+F26+F28+F29),0)</f>
        <v>0</v>
      </c>
      <c r="J53" s="60">
        <f>IFERROR((L25+L26)*F29/(F24+F25+F27+F29),0)</f>
        <v>0</v>
      </c>
      <c r="K53" s="60">
        <f>IFERROR(L28*F27/(F25+F26+F27+F28),0)</f>
        <v>0</v>
      </c>
    </row>
    <row r="54" spans="2:12" x14ac:dyDescent="0.2">
      <c r="B54" s="138" t="s">
        <v>471</v>
      </c>
      <c r="C54" s="78">
        <f>C14</f>
        <v>0.14631506814539669</v>
      </c>
      <c r="D54" s="78">
        <f>N14</f>
        <v>0.14583843673071617</v>
      </c>
      <c r="E54" s="78">
        <f>H14</f>
        <v>0.14195897534258439</v>
      </c>
      <c r="F54" s="78">
        <f>J14</f>
        <v>0.14195897534258439</v>
      </c>
      <c r="G54" s="78">
        <f>K14</f>
        <v>0.14631506814539669</v>
      </c>
      <c r="H54" s="78">
        <f>M14</f>
        <v>0.14631506814539669</v>
      </c>
      <c r="I54" s="78">
        <f>O14</f>
        <v>0.14583843673071617</v>
      </c>
      <c r="J54" s="78">
        <f>O14</f>
        <v>0.14583843673071617</v>
      </c>
      <c r="K54" s="78">
        <f>O14</f>
        <v>0.14583843673071617</v>
      </c>
    </row>
    <row r="55" spans="2:12" x14ac:dyDescent="0.2">
      <c r="B55" s="12" t="s">
        <v>470</v>
      </c>
      <c r="C55" s="60">
        <f>'DADOS-Campanha'!$G$38*1000</f>
        <v>0</v>
      </c>
      <c r="D55" s="60">
        <f>'DADOS-Campanha'!$G$38*1000</f>
        <v>0</v>
      </c>
      <c r="E55" s="60">
        <f>'DADOS-Campanha'!$G$38*1000</f>
        <v>0</v>
      </c>
      <c r="F55" s="60">
        <f>'DADOS-Campanha'!$G$38*1000</f>
        <v>0</v>
      </c>
      <c r="G55" s="60">
        <f>'DADOS-Campanha'!$G$38*1000</f>
        <v>0</v>
      </c>
      <c r="H55" s="60">
        <f>'DADOS-Campanha'!$G$38*1000</f>
        <v>0</v>
      </c>
      <c r="I55" s="60">
        <f>'DADOS-Campanha'!$G$38*1000</f>
        <v>0</v>
      </c>
      <c r="J55" s="60">
        <f>'DADOS-Campanha'!$G$38*1000</f>
        <v>0</v>
      </c>
      <c r="K55" s="60">
        <f>'DADOS-Campanha'!$G$38*1000</f>
        <v>0</v>
      </c>
    </row>
    <row r="56" spans="2:12" x14ac:dyDescent="0.2">
      <c r="B56" s="12" t="s">
        <v>473</v>
      </c>
      <c r="C56" s="81" t="str">
        <f t="shared" ref="C56:K56" si="2">IFERROR(C53*C54/C55,"")</f>
        <v/>
      </c>
      <c r="D56" s="81" t="str">
        <f t="shared" si="2"/>
        <v/>
      </c>
      <c r="E56" s="81" t="str">
        <f t="shared" si="2"/>
        <v/>
      </c>
      <c r="F56" s="81" t="str">
        <f t="shared" si="2"/>
        <v/>
      </c>
      <c r="G56" s="81" t="str">
        <f t="shared" si="2"/>
        <v/>
      </c>
      <c r="H56" s="81" t="str">
        <f t="shared" si="2"/>
        <v/>
      </c>
      <c r="I56" s="81" t="str">
        <f t="shared" si="2"/>
        <v/>
      </c>
      <c r="J56" s="81" t="str">
        <f t="shared" si="2"/>
        <v/>
      </c>
      <c r="K56" s="81" t="str">
        <f t="shared" si="2"/>
        <v/>
      </c>
    </row>
    <row r="57" spans="2:12" x14ac:dyDescent="0.2">
      <c r="B57" s="1"/>
      <c r="C57" s="1"/>
    </row>
    <row r="58" spans="2:12" ht="25.5" x14ac:dyDescent="0.2">
      <c r="B58" s="137" t="s">
        <v>474</v>
      </c>
      <c r="C58" s="24" t="s">
        <v>451</v>
      </c>
      <c r="D58" s="24" t="s">
        <v>469</v>
      </c>
      <c r="E58" s="24" t="s">
        <v>475</v>
      </c>
      <c r="F58" s="24" t="s">
        <v>480</v>
      </c>
      <c r="G58" s="24" t="s">
        <v>476</v>
      </c>
      <c r="H58" s="24" t="s">
        <v>482</v>
      </c>
      <c r="I58" s="24" t="s">
        <v>477</v>
      </c>
      <c r="J58" s="24" t="s">
        <v>478</v>
      </c>
      <c r="K58" s="24" t="s">
        <v>478</v>
      </c>
    </row>
    <row r="59" spans="2:12" x14ac:dyDescent="0.2">
      <c r="B59" s="12" t="s">
        <v>472</v>
      </c>
      <c r="C59" s="81">
        <f>C27</f>
        <v>270671.225972171</v>
      </c>
      <c r="D59" s="60">
        <f>K27</f>
        <v>276149.325402299</v>
      </c>
      <c r="E59" s="60">
        <f>H24</f>
        <v>0</v>
      </c>
      <c r="F59" s="60">
        <f>H28</f>
        <v>0</v>
      </c>
      <c r="G59" s="60">
        <f>G24</f>
        <v>0</v>
      </c>
      <c r="H59" s="60">
        <f>G28</f>
        <v>0</v>
      </c>
      <c r="I59" s="60">
        <f>IFERROR((L25+L26)*F24/(F24+F25+F27+F29),0)</f>
        <v>0</v>
      </c>
      <c r="J59" s="60">
        <f>IFERROR(L27*(F24+F28)/(F24+F26+F28+F29),0)</f>
        <v>0</v>
      </c>
      <c r="K59" s="60">
        <f>IFERROR(L28*F28/(F25+F26+F27+F28),0)</f>
        <v>0</v>
      </c>
    </row>
    <row r="60" spans="2:12" x14ac:dyDescent="0.2">
      <c r="B60" s="138" t="s">
        <v>471</v>
      </c>
      <c r="C60" s="78">
        <f>C14</f>
        <v>0.14631506814539669</v>
      </c>
      <c r="D60" s="78">
        <f>N14</f>
        <v>0.14583843673071617</v>
      </c>
      <c r="E60" s="78">
        <f>H14</f>
        <v>0.14195897534258439</v>
      </c>
      <c r="F60" s="78">
        <f>J14</f>
        <v>0.14195897534258439</v>
      </c>
      <c r="G60" s="78">
        <f>K14</f>
        <v>0.14631506814539669</v>
      </c>
      <c r="H60" s="78">
        <f>M14</f>
        <v>0.14631506814539669</v>
      </c>
      <c r="I60" s="78">
        <f>O14</f>
        <v>0.14583843673071617</v>
      </c>
      <c r="J60" s="78">
        <f>O14</f>
        <v>0.14583843673071617</v>
      </c>
      <c r="K60" s="78">
        <f>O14</f>
        <v>0.14583843673071617</v>
      </c>
    </row>
    <row r="61" spans="2:12" x14ac:dyDescent="0.2">
      <c r="B61" s="12" t="s">
        <v>470</v>
      </c>
      <c r="C61" s="3">
        <f>'DADOS-Campanha'!$J$38*1000</f>
        <v>8620.3837890625</v>
      </c>
      <c r="D61" s="3">
        <f>'DADOS-Campanha'!$J$38*1000</f>
        <v>8620.3837890625</v>
      </c>
      <c r="E61" s="3">
        <f>'DADOS-Campanha'!$J$38*1000</f>
        <v>8620.3837890625</v>
      </c>
      <c r="F61" s="3">
        <f>'DADOS-Campanha'!$J$38*1000</f>
        <v>8620.3837890625</v>
      </c>
      <c r="G61" s="3">
        <f>'DADOS-Campanha'!$J$38*1000</f>
        <v>8620.3837890625</v>
      </c>
      <c r="H61" s="3">
        <f>'DADOS-Campanha'!$J$38*1000</f>
        <v>8620.3837890625</v>
      </c>
      <c r="I61" s="3">
        <f>'DADOS-Campanha'!$J$38*1000</f>
        <v>8620.3837890625</v>
      </c>
      <c r="J61" s="3">
        <f>'DADOS-Campanha'!$J$38*1000</f>
        <v>8620.3837890625</v>
      </c>
      <c r="K61" s="3">
        <f>'DADOS-Campanha'!$J$38*1000</f>
        <v>8620.3837890625</v>
      </c>
    </row>
    <row r="62" spans="2:12" x14ac:dyDescent="0.2">
      <c r="B62" s="12" t="s">
        <v>473</v>
      </c>
      <c r="C62" s="81">
        <f t="shared" ref="C62:K62" si="3">IFERROR(C59*C60/C61,"")</f>
        <v>4.5941433516411081</v>
      </c>
      <c r="D62" s="81">
        <f t="shared" si="3"/>
        <v>4.671855326442838</v>
      </c>
      <c r="E62" s="81">
        <f t="shared" si="3"/>
        <v>0</v>
      </c>
      <c r="F62" s="81">
        <f t="shared" si="3"/>
        <v>0</v>
      </c>
      <c r="G62" s="81">
        <f t="shared" si="3"/>
        <v>0</v>
      </c>
      <c r="H62" s="81">
        <f t="shared" si="3"/>
        <v>0</v>
      </c>
      <c r="I62" s="81">
        <f t="shared" si="3"/>
        <v>0</v>
      </c>
      <c r="J62" s="81">
        <f t="shared" si="3"/>
        <v>0</v>
      </c>
      <c r="K62" s="81">
        <f t="shared" si="3"/>
        <v>0</v>
      </c>
    </row>
    <row r="63" spans="2:12" x14ac:dyDescent="0.2">
      <c r="B63" s="1"/>
      <c r="C63" s="1"/>
    </row>
    <row r="64" spans="2:12" ht="25.5" x14ac:dyDescent="0.2">
      <c r="B64" s="137" t="s">
        <v>483</v>
      </c>
      <c r="C64" s="24" t="s">
        <v>454</v>
      </c>
      <c r="D64" s="24" t="s">
        <v>484</v>
      </c>
      <c r="E64" s="24" t="s">
        <v>469</v>
      </c>
      <c r="F64" s="24" t="s">
        <v>485</v>
      </c>
      <c r="G64" s="24" t="s">
        <v>486</v>
      </c>
      <c r="H64" s="24" t="s">
        <v>487</v>
      </c>
      <c r="I64" s="24" t="s">
        <v>488</v>
      </c>
      <c r="J64" s="24" t="s">
        <v>477</v>
      </c>
      <c r="K64" s="24" t="s">
        <v>478</v>
      </c>
      <c r="L64" s="24" t="s">
        <v>489</v>
      </c>
    </row>
    <row r="65" spans="2:12" x14ac:dyDescent="0.2">
      <c r="B65" s="12" t="s">
        <v>472</v>
      </c>
      <c r="C65" s="81">
        <f>C28+C29+C30</f>
        <v>19256820.352019999</v>
      </c>
      <c r="D65" s="81">
        <f>C31+C32+C33</f>
        <v>0</v>
      </c>
      <c r="E65" s="81">
        <f>K28</f>
        <v>724311.86260014912</v>
      </c>
      <c r="F65" s="81">
        <f>H25</f>
        <v>0</v>
      </c>
      <c r="G65" s="81">
        <f>H26</f>
        <v>3096749.1535847816</v>
      </c>
      <c r="H65" s="81">
        <f>G25</f>
        <v>0</v>
      </c>
      <c r="I65" s="81">
        <f>G26</f>
        <v>6318308.1554751433</v>
      </c>
      <c r="J65" s="81">
        <f>IFERROR((L25+L26)*F25/(F24+F25+F27+F29),0)</f>
        <v>0</v>
      </c>
      <c r="K65" s="81">
        <f>IFERROR(L27*F26/(F24+F26+F28+F29),0)</f>
        <v>668027.60088495037</v>
      </c>
      <c r="L65" s="81">
        <f>IFERROR(L28*(F25+F26)/(F25+F26+F27+F28),0)</f>
        <v>115481.87754047112</v>
      </c>
    </row>
    <row r="66" spans="2:12" x14ac:dyDescent="0.2">
      <c r="B66" s="138" t="s">
        <v>471</v>
      </c>
      <c r="C66" s="78">
        <f>D14</f>
        <v>0.14631506814539669</v>
      </c>
      <c r="D66" s="78">
        <f>E14</f>
        <v>0.14631506814539669</v>
      </c>
      <c r="E66" s="78">
        <f>N14</f>
        <v>0.14583843673071617</v>
      </c>
      <c r="F66" s="140">
        <f>I14</f>
        <v>0.14195897534258439</v>
      </c>
      <c r="G66" s="140">
        <f>J14</f>
        <v>0.14195897534258439</v>
      </c>
      <c r="H66" s="140">
        <f>L14</f>
        <v>0.14631506814539669</v>
      </c>
      <c r="I66" s="140">
        <f>L14</f>
        <v>0.14631506814539669</v>
      </c>
      <c r="J66" s="140">
        <f>O14</f>
        <v>0.14583843673071617</v>
      </c>
      <c r="K66" s="140">
        <f>O14</f>
        <v>0.14583843673071617</v>
      </c>
      <c r="L66" s="140">
        <f>O14</f>
        <v>0.14583843673071617</v>
      </c>
    </row>
    <row r="67" spans="2:12" x14ac:dyDescent="0.2">
      <c r="B67" s="12" t="s">
        <v>470</v>
      </c>
      <c r="C67" s="3">
        <f>'DADOS-Campanha'!$M$38*1000</f>
        <v>25405.722900390625</v>
      </c>
      <c r="D67" s="3">
        <f>'DADOS-Campanha'!$M$38*1000</f>
        <v>25405.722900390625</v>
      </c>
      <c r="E67" s="3">
        <f>'DADOS-Campanha'!$M$38*1000</f>
        <v>25405.722900390625</v>
      </c>
      <c r="F67" s="3">
        <f>'DADOS-Campanha'!$M$38*1000</f>
        <v>25405.722900390625</v>
      </c>
      <c r="G67" s="3">
        <f>'DADOS-Campanha'!$M$38*1000</f>
        <v>25405.722900390625</v>
      </c>
      <c r="H67" s="3">
        <f>'DADOS-Campanha'!$M$38*1000</f>
        <v>25405.722900390625</v>
      </c>
      <c r="I67" s="3">
        <f>'DADOS-Campanha'!$M$38*1000</f>
        <v>25405.722900390625</v>
      </c>
      <c r="J67" s="3">
        <f>'DADOS-Campanha'!$M$38*1000</f>
        <v>25405.722900390625</v>
      </c>
      <c r="K67" s="3">
        <f>'DADOS-Campanha'!$M$38*1000</f>
        <v>25405.722900390625</v>
      </c>
      <c r="L67" s="3">
        <f>'DADOS-Campanha'!$M$38*1000</f>
        <v>25405.722900390625</v>
      </c>
    </row>
    <row r="68" spans="2:12" x14ac:dyDescent="0.2">
      <c r="B68" s="12" t="s">
        <v>473</v>
      </c>
      <c r="C68" s="81">
        <f t="shared" ref="C68:L68" si="4">IFERROR(C65*C66/C67,"")</f>
        <v>110.90268885937297</v>
      </c>
      <c r="D68" s="81">
        <f t="shared" si="4"/>
        <v>0</v>
      </c>
      <c r="E68" s="81">
        <f t="shared" si="4"/>
        <v>4.1578234227491668</v>
      </c>
      <c r="F68" s="81">
        <f t="shared" si="4"/>
        <v>0</v>
      </c>
      <c r="G68" s="81">
        <f t="shared" si="4"/>
        <v>17.303634242549023</v>
      </c>
      <c r="H68" s="81">
        <f>IFERROR(H65*H66/H67,"")</f>
        <v>0</v>
      </c>
      <c r="I68" s="81">
        <f t="shared" si="4"/>
        <v>36.388009581799665</v>
      </c>
      <c r="J68" s="81">
        <f t="shared" si="4"/>
        <v>0</v>
      </c>
      <c r="K68" s="81">
        <f t="shared" si="4"/>
        <v>3.8347305206786308</v>
      </c>
      <c r="L68" s="81">
        <f t="shared" si="4"/>
        <v>0.66290955613671432</v>
      </c>
    </row>
    <row r="69" spans="2:12" x14ac:dyDescent="0.2">
      <c r="B69" s="1"/>
      <c r="C69" s="1"/>
    </row>
    <row r="70" spans="2:12" ht="51" x14ac:dyDescent="0.2">
      <c r="B70" s="137" t="s">
        <v>492</v>
      </c>
      <c r="C70" s="24" t="s">
        <v>493</v>
      </c>
      <c r="D70" s="24" t="s">
        <v>494</v>
      </c>
      <c r="E70" s="24" t="s">
        <v>499</v>
      </c>
      <c r="F70" s="24" t="s">
        <v>445</v>
      </c>
      <c r="G70" s="24" t="s">
        <v>500</v>
      </c>
      <c r="H70" s="24" t="s">
        <v>447</v>
      </c>
    </row>
    <row r="71" spans="2:12" x14ac:dyDescent="0.2">
      <c r="B71" s="12" t="s">
        <v>472</v>
      </c>
      <c r="C71" s="81">
        <f>C34+C35+C36</f>
        <v>26565037.179245122</v>
      </c>
      <c r="D71" s="81">
        <f>C37+C38+C39</f>
        <v>0</v>
      </c>
      <c r="E71" s="81">
        <f>F34</f>
        <v>2759569.4000000004</v>
      </c>
      <c r="F71" s="81">
        <f>G34</f>
        <v>7317629</v>
      </c>
      <c r="G71" s="81">
        <f>F35</f>
        <v>0</v>
      </c>
      <c r="H71" s="81">
        <f>G35</f>
        <v>0</v>
      </c>
    </row>
    <row r="72" spans="2:12" x14ac:dyDescent="0.2">
      <c r="B72" s="138" t="s">
        <v>471</v>
      </c>
      <c r="C72" s="78">
        <f>F14</f>
        <v>0.14631506814539669</v>
      </c>
      <c r="D72" s="78">
        <f>G14</f>
        <v>0.14631506814539669</v>
      </c>
      <c r="E72" s="78">
        <f>P14</f>
        <v>0.14934041540716025</v>
      </c>
      <c r="F72" s="78">
        <f>Q14</f>
        <v>0.14934041540716025</v>
      </c>
      <c r="G72" s="78">
        <f>R14</f>
        <v>0.14934041540716025</v>
      </c>
      <c r="H72" s="78">
        <f>S14</f>
        <v>0.14934041540716025</v>
      </c>
    </row>
    <row r="73" spans="2:12" x14ac:dyDescent="0.2">
      <c r="B73" s="12" t="s">
        <v>470</v>
      </c>
      <c r="C73" s="3">
        <f>'DADOS-Campanha'!$P$38*1000</f>
        <v>23952.288074562042</v>
      </c>
      <c r="D73" s="3">
        <f>'DADOS-Campanha'!$P$38*1000</f>
        <v>23952.288074562042</v>
      </c>
      <c r="E73" s="3">
        <f>'DADOS-Campanha'!$P$38*1000</f>
        <v>23952.288074562042</v>
      </c>
      <c r="F73" s="3">
        <f>'DADOS-Campanha'!$P$38*1000</f>
        <v>23952.288074562042</v>
      </c>
      <c r="G73" s="3">
        <f>'DADOS-Campanha'!$P$38*1000</f>
        <v>23952.288074562042</v>
      </c>
      <c r="H73" s="3">
        <f>'DADOS-Campanha'!$P$38*1000</f>
        <v>23952.288074562042</v>
      </c>
    </row>
    <row r="74" spans="2:12" x14ac:dyDescent="0.2">
      <c r="B74" s="12" t="s">
        <v>473</v>
      </c>
      <c r="C74" s="81">
        <f t="shared" ref="C74:H74" si="5">IFERROR(C71*C72/C73,"")</f>
        <v>162.27532054836129</v>
      </c>
      <c r="D74" s="81">
        <f t="shared" si="5"/>
        <v>0</v>
      </c>
      <c r="E74" s="81">
        <f t="shared" si="5"/>
        <v>17.205673180699812</v>
      </c>
      <c r="F74" s="81">
        <f t="shared" si="5"/>
        <v>45.624775021643288</v>
      </c>
      <c r="G74" s="81">
        <f t="shared" si="5"/>
        <v>0</v>
      </c>
      <c r="H74" s="81">
        <f t="shared" si="5"/>
        <v>0</v>
      </c>
    </row>
    <row r="75" spans="2:12" x14ac:dyDescent="0.2">
      <c r="B75" s="1"/>
      <c r="C75" s="1"/>
    </row>
    <row r="76" spans="2:12" x14ac:dyDescent="0.2">
      <c r="B76" s="1"/>
      <c r="C76" s="1"/>
      <c r="E76" s="1" t="s">
        <v>3241</v>
      </c>
    </row>
    <row r="77" spans="2:12" x14ac:dyDescent="0.2">
      <c r="B77" s="790" t="s">
        <v>501</v>
      </c>
      <c r="C77" s="790" t="s">
        <v>502</v>
      </c>
      <c r="E77" s="790" t="s">
        <v>502</v>
      </c>
      <c r="F77" s="791" t="s">
        <v>3486</v>
      </c>
    </row>
    <row r="78" spans="2:12" x14ac:dyDescent="0.2">
      <c r="B78" s="790"/>
      <c r="C78" s="790"/>
      <c r="E78" s="790"/>
      <c r="F78" s="790"/>
    </row>
    <row r="79" spans="2:12" x14ac:dyDescent="0.2">
      <c r="B79" s="141" t="s">
        <v>7</v>
      </c>
      <c r="C79" s="81">
        <f>ROUND(SUM(C56:K56),2)</f>
        <v>0</v>
      </c>
      <c r="E79" s="663"/>
      <c r="F79" s="143">
        <f>IFERROR(CM_AT2/E79-1,)</f>
        <v>0</v>
      </c>
    </row>
    <row r="80" spans="2:12" x14ac:dyDescent="0.2">
      <c r="B80" s="142" t="s">
        <v>8</v>
      </c>
      <c r="C80" s="81">
        <f>ROUND(SUM(C62:K62),2)</f>
        <v>9.27</v>
      </c>
      <c r="E80" s="663">
        <v>1.63</v>
      </c>
      <c r="F80" s="143">
        <f>IFERROR(CM_AT3/E80-1,)</f>
        <v>4.6871165644171784</v>
      </c>
    </row>
    <row r="81" spans="2:7" x14ac:dyDescent="0.2">
      <c r="B81" s="12" t="s">
        <v>6</v>
      </c>
      <c r="C81" s="81">
        <f>ROUND(SUM(C68:L68),2)</f>
        <v>173.25</v>
      </c>
      <c r="E81" s="663">
        <v>79.39</v>
      </c>
      <c r="F81" s="143">
        <f>IFERROR(CM_MT/E81-1,)</f>
        <v>1.1822647688625771</v>
      </c>
    </row>
    <row r="82" spans="2:7" x14ac:dyDescent="0.2">
      <c r="B82" s="12" t="s">
        <v>20</v>
      </c>
      <c r="C82" s="81">
        <f>ROUND(SUM(C74:H74),2)</f>
        <v>225.11</v>
      </c>
      <c r="E82" s="663">
        <v>181.37</v>
      </c>
      <c r="F82" s="143">
        <f>IFERROR(CM_BT/E82-1,)</f>
        <v>0.24116447041958433</v>
      </c>
    </row>
    <row r="83" spans="2:7" x14ac:dyDescent="0.2">
      <c r="C83" s="1"/>
    </row>
    <row r="84" spans="2:7" x14ac:dyDescent="0.2">
      <c r="B84" s="280"/>
      <c r="C84" s="1"/>
    </row>
    <row r="85" spans="2:7" x14ac:dyDescent="0.2">
      <c r="B85" s="1"/>
      <c r="C85" s="1"/>
    </row>
    <row r="86" spans="2:7" x14ac:dyDescent="0.2">
      <c r="B86" s="1" t="s">
        <v>3242</v>
      </c>
      <c r="C86" s="1"/>
      <c r="F86" s="1" t="s">
        <v>3244</v>
      </c>
    </row>
    <row r="87" spans="2:7" ht="1.5" customHeight="1" x14ac:dyDescent="0.2"/>
    <row r="88" spans="2:7" x14ac:dyDescent="0.2">
      <c r="B88" s="372"/>
      <c r="C88" s="372" t="s">
        <v>503</v>
      </c>
      <c r="D88" s="372" t="s">
        <v>507</v>
      </c>
      <c r="F88" s="372"/>
      <c r="G88" s="389" t="s">
        <v>3243</v>
      </c>
    </row>
    <row r="89" spans="2:7" x14ac:dyDescent="0.2">
      <c r="B89" s="3" t="s">
        <v>8</v>
      </c>
      <c r="C89" s="15" t="s">
        <v>506</v>
      </c>
      <c r="D89" s="3">
        <f>IFERROR((E62+F62+G62+H62+I62+J62+K62)/CM_AT3,"")</f>
        <v>0</v>
      </c>
      <c r="F89" s="15" t="s">
        <v>6</v>
      </c>
      <c r="G89" s="264">
        <f>(C68+D68+E68)/CM_MT</f>
        <v>0.66412994102235001</v>
      </c>
    </row>
    <row r="90" spans="2:7" x14ac:dyDescent="0.2">
      <c r="B90" s="3" t="s">
        <v>6</v>
      </c>
      <c r="C90" s="15" t="s">
        <v>505</v>
      </c>
      <c r="D90" s="263">
        <f>IFERROR((F68+G68+H68+I68+J68+K68+L68)/CM_MT,"")</f>
        <v>0.33586888254640135</v>
      </c>
      <c r="F90" s="15" t="s">
        <v>387</v>
      </c>
      <c r="G90" s="264">
        <f>(C74+D74)/CM_BT</f>
        <v>0.7208712209513628</v>
      </c>
    </row>
    <row r="91" spans="2:7" x14ac:dyDescent="0.2">
      <c r="B91" s="3" t="s">
        <v>20</v>
      </c>
      <c r="C91" s="15" t="s">
        <v>504</v>
      </c>
      <c r="D91" s="263">
        <f>IFERROR((E74+F74+G74+H74)/CM_BT,"")</f>
        <v>0.27910998268554527</v>
      </c>
      <c r="F91" s="15" t="s">
        <v>386</v>
      </c>
      <c r="G91" s="264">
        <f>(C68+D68+E68)/CM_MT</f>
        <v>0.66412994102235001</v>
      </c>
    </row>
  </sheetData>
  <mergeCells count="9">
    <mergeCell ref="B77:B78"/>
    <mergeCell ref="C77:C78"/>
    <mergeCell ref="E77:E78"/>
    <mergeCell ref="F77:F78"/>
    <mergeCell ref="H2:K2"/>
    <mergeCell ref="H3:K3"/>
    <mergeCell ref="B8:B9"/>
    <mergeCell ref="B6:S7"/>
    <mergeCell ref="C8:S8"/>
  </mergeCells>
  <conditionalFormatting sqref="C79:C8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{D8D7B1DC-23E3-4D11-AC7E-DA5AB8E4B8EB}</x14:id>
        </ext>
      </extLst>
    </cfRule>
  </conditionalFormatting>
  <conditionalFormatting sqref="F79:F8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{1F744758-87D1-42F6-97CC-C96522257574}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13313" r:id="rId3" name="custoMedioXML">
          <controlPr defaultSize="0" autoLine="0" r:id="rId4">
            <anchor moveWithCells="1">
              <from>
                <xdr:col>6</xdr:col>
                <xdr:colOff>952500</xdr:colOff>
                <xdr:row>77</xdr:row>
                <xdr:rowOff>95250</xdr:rowOff>
              </from>
              <to>
                <xdr:col>8</xdr:col>
                <xdr:colOff>600075</xdr:colOff>
                <xdr:row>79</xdr:row>
                <xdr:rowOff>57150</xdr:rowOff>
              </to>
            </anchor>
          </controlPr>
        </control>
      </mc:Choice>
      <mc:Fallback>
        <control shapeId="13313" r:id="rId3" name="custoMedioXML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D7B1DC-23E3-4D11-AC7E-DA5AB8E4B8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C79:C82</xm:sqref>
        </x14:conditionalFormatting>
        <x14:conditionalFormatting xmlns:xm="http://schemas.microsoft.com/office/excel/2006/main">
          <x14:cfRule type="dataBar" id="{1F744758-87D1-42F6-97CC-C965222575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F79:F82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theme="4" tint="-0.249977111117893"/>
  </sheetPr>
  <dimension ref="B1:K25"/>
  <sheetViews>
    <sheetView showGridLines="0" zoomScaleNormal="100" workbookViewId="0">
      <selection activeCell="K33" sqref="K33"/>
    </sheetView>
  </sheetViews>
  <sheetFormatPr defaultColWidth="9.140625" defaultRowHeight="12.75" x14ac:dyDescent="0.2"/>
  <cols>
    <col min="1" max="1" width="0.5703125" style="2" customWidth="1"/>
    <col min="2" max="2" width="21.5703125" style="2" customWidth="1"/>
    <col min="3" max="3" width="14" style="2" customWidth="1"/>
    <col min="4" max="4" width="16.85546875" style="2" customWidth="1"/>
    <col min="5" max="6" width="17.5703125" style="2" customWidth="1"/>
    <col min="7" max="7" width="12.85546875" style="2" customWidth="1"/>
    <col min="8" max="8" width="18" style="2" customWidth="1"/>
    <col min="9" max="9" width="12.85546875" style="2" customWidth="1"/>
    <col min="10" max="10" width="17" style="2" customWidth="1"/>
    <col min="11" max="15" width="12.85546875" style="2" customWidth="1"/>
    <col min="16" max="16384" width="9.140625" style="2"/>
  </cols>
  <sheetData>
    <row r="1" spans="2:11" x14ac:dyDescent="0.2">
      <c r="G1" s="22"/>
      <c r="H1" s="23"/>
    </row>
    <row r="2" spans="2:11" x14ac:dyDescent="0.2">
      <c r="B2" s="1" t="s">
        <v>353</v>
      </c>
      <c r="C2" s="1"/>
      <c r="F2" s="24" t="s">
        <v>3576</v>
      </c>
      <c r="G2" s="9">
        <v>2</v>
      </c>
      <c r="H2" s="1"/>
      <c r="I2" s="1"/>
      <c r="J2" s="1"/>
      <c r="K2" s="1"/>
    </row>
    <row r="3" spans="2:11" x14ac:dyDescent="0.2">
      <c r="B3" s="1"/>
      <c r="C3" s="1"/>
      <c r="F3" s="24" t="s">
        <v>63</v>
      </c>
      <c r="G3" s="31">
        <v>44714</v>
      </c>
      <c r="H3" s="1"/>
      <c r="I3" s="1"/>
      <c r="J3" s="1"/>
      <c r="K3" s="1"/>
    </row>
    <row r="4" spans="2:11" x14ac:dyDescent="0.2">
      <c r="B4" s="1"/>
      <c r="C4" s="1"/>
    </row>
    <row r="5" spans="2:11" x14ac:dyDescent="0.2">
      <c r="B5" s="1" t="s">
        <v>354</v>
      </c>
      <c r="C5" s="1"/>
      <c r="G5" s="1"/>
      <c r="H5" s="1"/>
    </row>
    <row r="6" spans="2:11" ht="3.75" customHeight="1" x14ac:dyDescent="0.2">
      <c r="C6" s="1"/>
    </row>
    <row r="7" spans="2:11" x14ac:dyDescent="0.2">
      <c r="B7" s="56"/>
      <c r="C7" s="796" t="s">
        <v>331</v>
      </c>
      <c r="D7" s="797"/>
      <c r="E7" s="797"/>
      <c r="F7" s="797"/>
      <c r="G7" s="797"/>
      <c r="J7" s="1" t="s">
        <v>712</v>
      </c>
    </row>
    <row r="8" spans="2:11" x14ac:dyDescent="0.2">
      <c r="B8" s="43"/>
      <c r="C8" s="43" t="s">
        <v>7</v>
      </c>
      <c r="D8" s="43" t="s">
        <v>8</v>
      </c>
      <c r="E8" s="64" t="s">
        <v>6</v>
      </c>
      <c r="F8" s="43" t="s">
        <v>20</v>
      </c>
      <c r="G8" s="43"/>
      <c r="J8" s="1"/>
    </row>
    <row r="9" spans="2:11" x14ac:dyDescent="0.2">
      <c r="B9" s="43" t="s">
        <v>7</v>
      </c>
      <c r="C9" s="224">
        <v>0</v>
      </c>
      <c r="D9" s="66"/>
      <c r="E9" s="67"/>
      <c r="F9" s="65"/>
      <c r="G9" s="57">
        <f>SUM(C9:F9)</f>
        <v>0</v>
      </c>
      <c r="J9" s="1" t="s">
        <v>713</v>
      </c>
    </row>
    <row r="10" spans="2:11" x14ac:dyDescent="0.2">
      <c r="B10" s="43" t="s">
        <v>8</v>
      </c>
      <c r="C10" s="224">
        <v>0</v>
      </c>
      <c r="D10" s="230">
        <v>0</v>
      </c>
      <c r="E10" s="68"/>
      <c r="F10" s="65"/>
      <c r="G10" s="57">
        <f>SUM(C10:F10)</f>
        <v>0</v>
      </c>
      <c r="J10" s="1"/>
    </row>
    <row r="11" spans="2:11" x14ac:dyDescent="0.2">
      <c r="B11" s="43" t="s">
        <v>6</v>
      </c>
      <c r="C11" s="224">
        <v>0</v>
      </c>
      <c r="D11" s="224">
        <v>6.7852982596671102E-4</v>
      </c>
      <c r="E11" s="231">
        <v>0.10994687171180501</v>
      </c>
      <c r="F11" s="65"/>
      <c r="G11" s="57">
        <f>SUM(C11:F11)</f>
        <v>0.11062540153777171</v>
      </c>
      <c r="J11" s="1" t="s">
        <v>715</v>
      </c>
    </row>
    <row r="12" spans="2:11" x14ac:dyDescent="0.2">
      <c r="B12" s="43" t="s">
        <v>20</v>
      </c>
      <c r="C12" s="224">
        <v>0</v>
      </c>
      <c r="D12" s="224">
        <v>6.1648988630773503E-3</v>
      </c>
      <c r="E12" s="224">
        <v>0.34254875196832901</v>
      </c>
      <c r="F12" s="232">
        <v>0.54066094763082095</v>
      </c>
      <c r="G12" s="57">
        <f>SUM(C12:F12)</f>
        <v>0.88937459846222733</v>
      </c>
      <c r="J12" s="1"/>
    </row>
    <row r="13" spans="2:11" x14ac:dyDescent="0.2">
      <c r="G13" s="57">
        <f>ROUND(SUM(G9:G12),2)</f>
        <v>1</v>
      </c>
      <c r="J13" s="1" t="s">
        <v>714</v>
      </c>
    </row>
    <row r="14" spans="2:11" x14ac:dyDescent="0.2">
      <c r="J14" s="1"/>
    </row>
    <row r="15" spans="2:11" x14ac:dyDescent="0.2">
      <c r="B15" s="1" t="s">
        <v>355</v>
      </c>
      <c r="J15" s="1" t="s">
        <v>3246</v>
      </c>
    </row>
    <row r="16" spans="2:11" ht="2.25" customHeight="1" x14ac:dyDescent="0.2">
      <c r="B16" s="1"/>
      <c r="C16" s="2">
        <v>1</v>
      </c>
    </row>
    <row r="17" spans="2:6" x14ac:dyDescent="0.2">
      <c r="B17" s="56"/>
      <c r="C17" s="798"/>
      <c r="D17" s="799"/>
      <c r="E17" s="799"/>
      <c r="F17" s="799"/>
    </row>
    <row r="18" spans="2:6" x14ac:dyDescent="0.2">
      <c r="B18" s="43"/>
      <c r="C18" s="43" t="s">
        <v>7</v>
      </c>
      <c r="D18" s="235" t="s">
        <v>8</v>
      </c>
      <c r="E18" s="236" t="s">
        <v>6</v>
      </c>
      <c r="F18" s="43" t="s">
        <v>20</v>
      </c>
    </row>
    <row r="19" spans="2:6" x14ac:dyDescent="0.2">
      <c r="B19" s="43" t="s">
        <v>7</v>
      </c>
      <c r="C19" s="233"/>
      <c r="D19" s="171"/>
      <c r="E19" s="172"/>
      <c r="F19" s="172"/>
    </row>
    <row r="20" spans="2:6" x14ac:dyDescent="0.2">
      <c r="B20" s="43" t="s">
        <v>8</v>
      </c>
      <c r="C20" s="233"/>
      <c r="D20" s="233">
        <v>1</v>
      </c>
      <c r="E20" s="238"/>
      <c r="F20" s="237"/>
    </row>
    <row r="21" spans="2:6" x14ac:dyDescent="0.2">
      <c r="B21" s="43" t="s">
        <v>6</v>
      </c>
      <c r="C21" s="233"/>
      <c r="D21" s="233">
        <v>0.31090121999199999</v>
      </c>
      <c r="E21" s="233">
        <v>1</v>
      </c>
      <c r="F21" s="173"/>
    </row>
    <row r="22" spans="2:6" x14ac:dyDescent="0.2">
      <c r="B22" s="43" t="s">
        <v>20</v>
      </c>
      <c r="C22" s="233"/>
      <c r="D22" s="233">
        <v>0.31090121999199999</v>
      </c>
      <c r="E22" s="234">
        <v>1</v>
      </c>
      <c r="F22" s="234">
        <v>1</v>
      </c>
    </row>
    <row r="24" spans="2:6" x14ac:dyDescent="0.2">
      <c r="B24" s="1"/>
    </row>
    <row r="25" spans="2:6" x14ac:dyDescent="0.2">
      <c r="B25" s="1"/>
    </row>
  </sheetData>
  <mergeCells count="2">
    <mergeCell ref="C7:G7"/>
    <mergeCell ref="C17:F17"/>
  </mergeCells>
  <conditionalFormatting sqref="G13">
    <cfRule type="cellIs" dxfId="148" priority="1" operator="notEqual">
      <formula>100%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12291" r:id="rId3" name="EstVert">
          <controlPr defaultSize="0" autoLine="0" r:id="rId4">
            <anchor moveWithCells="1">
              <from>
                <xdr:col>7</xdr:col>
                <xdr:colOff>276225</xdr:colOff>
                <xdr:row>6</xdr:row>
                <xdr:rowOff>19050</xdr:rowOff>
              </from>
              <to>
                <xdr:col>9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2291" r:id="rId3" name="EstVert"/>
      </mc:Fallback>
    </mc:AlternateContent>
    <mc:AlternateContent xmlns:mc="http://schemas.openxmlformats.org/markup-compatibility/2006">
      <mc:Choice Requires="x14">
        <control shapeId="12294" r:id="rId5" name="ConTipo">
          <controlPr defaultSize="0" autoLine="0" r:id="rId6">
            <anchor moveWithCells="1">
              <from>
                <xdr:col>7</xdr:col>
                <xdr:colOff>285750</xdr:colOff>
                <xdr:row>9</xdr:row>
                <xdr:rowOff>133350</xdr:rowOff>
              </from>
              <to>
                <xdr:col>9</xdr:col>
                <xdr:colOff>76200</xdr:colOff>
                <xdr:row>11</xdr:row>
                <xdr:rowOff>123825</xdr:rowOff>
              </to>
            </anchor>
          </controlPr>
        </control>
      </mc:Choice>
      <mc:Fallback>
        <control shapeId="12294" r:id="rId5" name="ConTipo"/>
      </mc:Fallback>
    </mc:AlternateContent>
    <mc:AlternateContent xmlns:mc="http://schemas.openxmlformats.org/markup-compatibility/2006">
      <mc:Choice Requires="x14">
        <control shapeId="12295" r:id="rId7" name="PropFl">
          <controlPr defaultSize="0" autoLine="0" r:id="rId8">
            <anchor moveWithCells="1">
              <from>
                <xdr:col>7</xdr:col>
                <xdr:colOff>285750</xdr:colOff>
                <xdr:row>7</xdr:row>
                <xdr:rowOff>152400</xdr:rowOff>
              </from>
              <to>
                <xdr:col>9</xdr:col>
                <xdr:colOff>9525</xdr:colOff>
                <xdr:row>9</xdr:row>
                <xdr:rowOff>133350</xdr:rowOff>
              </to>
            </anchor>
          </controlPr>
        </control>
      </mc:Choice>
      <mc:Fallback>
        <control shapeId="12295" r:id="rId7" name="PropFl"/>
      </mc:Fallback>
    </mc:AlternateContent>
    <mc:AlternateContent xmlns:mc="http://schemas.openxmlformats.org/markup-compatibility/2006">
      <mc:Choice Requires="x14">
        <control shapeId="12296" r:id="rId9" name="RedeTipo">
          <controlPr defaultSize="0" autoLine="0" r:id="rId10">
            <anchor moveWithCells="1">
              <from>
                <xdr:col>7</xdr:col>
                <xdr:colOff>285750</xdr:colOff>
                <xdr:row>11</xdr:row>
                <xdr:rowOff>114300</xdr:rowOff>
              </from>
              <to>
                <xdr:col>9</xdr:col>
                <xdr:colOff>76200</xdr:colOff>
                <xdr:row>13</xdr:row>
                <xdr:rowOff>104775</xdr:rowOff>
              </to>
            </anchor>
          </controlPr>
        </control>
      </mc:Choice>
      <mc:Fallback>
        <control shapeId="12296" r:id="rId9" name="RedeTipo"/>
      </mc:Fallback>
    </mc:AlternateContent>
    <mc:AlternateContent xmlns:mc="http://schemas.openxmlformats.org/markup-compatibility/2006">
      <mc:Choice Requires="x14">
        <control shapeId="12297" r:id="rId11" name="CarrBeta">
          <controlPr defaultSize="0" autoLine="0" r:id="rId12">
            <anchor moveWithCells="1">
              <from>
                <xdr:col>7</xdr:col>
                <xdr:colOff>285750</xdr:colOff>
                <xdr:row>13</xdr:row>
                <xdr:rowOff>85725</xdr:rowOff>
              </from>
              <to>
                <xdr:col>9</xdr:col>
                <xdr:colOff>76200</xdr:colOff>
                <xdr:row>16</xdr:row>
                <xdr:rowOff>47625</xdr:rowOff>
              </to>
            </anchor>
          </controlPr>
        </control>
      </mc:Choice>
      <mc:Fallback>
        <control shapeId="12297" r:id="rId11" name="CarrBeta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199</vt:i4>
      </vt:variant>
    </vt:vector>
  </HeadingPairs>
  <TitlesOfParts>
    <vt:vector size="222" baseType="lpstr">
      <vt:lpstr>CAPA</vt:lpstr>
      <vt:lpstr>DADOS-Campanha</vt:lpstr>
      <vt:lpstr>DADOS-Mercado</vt:lpstr>
      <vt:lpstr>DADOS-Ativos e Custos</vt:lpstr>
      <vt:lpstr>DADOS-Diversos</vt:lpstr>
      <vt:lpstr>Aux_Fatores</vt:lpstr>
      <vt:lpstr>Diagrama</vt:lpstr>
      <vt:lpstr>Custo_Medio</vt:lpstr>
      <vt:lpstr>DADOS - RELATORIOS CTR</vt:lpstr>
      <vt:lpstr>CT (CTR)</vt:lpstr>
      <vt:lpstr>RT (CTR)</vt:lpstr>
      <vt:lpstr>Beta (CTR)</vt:lpstr>
      <vt:lpstr>CURVAS</vt:lpstr>
      <vt:lpstr>Aux_FIO A</vt:lpstr>
      <vt:lpstr>FIO A</vt:lpstr>
      <vt:lpstr>FIO B</vt:lpstr>
      <vt:lpstr>Tarifa Branca</vt:lpstr>
      <vt:lpstr>CCD_(nome Acessante)</vt:lpstr>
      <vt:lpstr>TR</vt:lpstr>
      <vt:lpstr>BD_CCD</vt:lpstr>
      <vt:lpstr>Tabelas e Graficos NT</vt:lpstr>
      <vt:lpstr>Aux</vt:lpstr>
      <vt:lpstr>Lista Códigos</vt:lpstr>
      <vt:lpstr>A_OeM_Encargo</vt:lpstr>
      <vt:lpstr>A_PeD</vt:lpstr>
      <vt:lpstr>A_TFSEE</vt:lpstr>
      <vt:lpstr>Anos_ciclo</vt:lpstr>
      <vt:lpstr>CM_AT2</vt:lpstr>
      <vt:lpstr>CM_AT3</vt:lpstr>
      <vt:lpstr>CM_BT</vt:lpstr>
      <vt:lpstr>CM_MT</vt:lpstr>
      <vt:lpstr>EV_AT2</vt:lpstr>
      <vt:lpstr>EV_AT2_AT2</vt:lpstr>
      <vt:lpstr>EV_AT2_AT3</vt:lpstr>
      <vt:lpstr>EV_AT2_BT</vt:lpstr>
      <vt:lpstr>EV_AT2_MT</vt:lpstr>
      <vt:lpstr>EV_AT3</vt:lpstr>
      <vt:lpstr>EV_AT3_AT3</vt:lpstr>
      <vt:lpstr>EV_AT3_BT</vt:lpstr>
      <vt:lpstr>EV_AT3_MT</vt:lpstr>
      <vt:lpstr>EV_BT</vt:lpstr>
      <vt:lpstr>EV_BT_BT</vt:lpstr>
      <vt:lpstr>EV_MT</vt:lpstr>
      <vt:lpstr>EV_MT_BT</vt:lpstr>
      <vt:lpstr>EV_MT_MT</vt:lpstr>
      <vt:lpstr>F_AT1_AT2</vt:lpstr>
      <vt:lpstr>F_AT2_AT3</vt:lpstr>
      <vt:lpstr>F_AT2_MT</vt:lpstr>
      <vt:lpstr>F_AT3_MT</vt:lpstr>
      <vt:lpstr>F_MT_BT</vt:lpstr>
      <vt:lpstr>FC_THSV</vt:lpstr>
      <vt:lpstr>FcoinFP_AT2_AT2</vt:lpstr>
      <vt:lpstr>FcoinFP_AT2_AT3</vt:lpstr>
      <vt:lpstr>FcoinFP_AT2_BT</vt:lpstr>
      <vt:lpstr>FcoinFP_AT2_MT</vt:lpstr>
      <vt:lpstr>FcoinFP_AT3_AT3</vt:lpstr>
      <vt:lpstr>FcoinFP_AT3_BT</vt:lpstr>
      <vt:lpstr>FcoinFP_AT3_MT</vt:lpstr>
      <vt:lpstr>FcoinFP_BT_BT</vt:lpstr>
      <vt:lpstr>FcoinFP_MT_BT</vt:lpstr>
      <vt:lpstr>FcoinFP_MT_MT</vt:lpstr>
      <vt:lpstr>FcoinP_AT2_AT2</vt:lpstr>
      <vt:lpstr>FcoinP_AT2_AT3</vt:lpstr>
      <vt:lpstr>FcoinP_AT2_BT</vt:lpstr>
      <vt:lpstr>FcoinP_AT2_MT</vt:lpstr>
      <vt:lpstr>FcoinP_AT3_AT3</vt:lpstr>
      <vt:lpstr>FcoinP_AT3_BT</vt:lpstr>
      <vt:lpstr>FcoinP_AT3_MT</vt:lpstr>
      <vt:lpstr>FcoinP_BT_BT</vt:lpstr>
      <vt:lpstr>FcoinP_MT_BT</vt:lpstr>
      <vt:lpstr>FcoinP_MT_MT</vt:lpstr>
      <vt:lpstr>FPE_AT1</vt:lpstr>
      <vt:lpstr>FPE_AT2</vt:lpstr>
      <vt:lpstr>FPE_AT3</vt:lpstr>
      <vt:lpstr>FPE_BT</vt:lpstr>
      <vt:lpstr>FPE_MT</vt:lpstr>
      <vt:lpstr>FPP_AT2_AT2</vt:lpstr>
      <vt:lpstr>FPP_AT2_AT3</vt:lpstr>
      <vt:lpstr>FPP_AT2_BT</vt:lpstr>
      <vt:lpstr>FPP_AT2_MT</vt:lpstr>
      <vt:lpstr>FPP_AT3_AT3</vt:lpstr>
      <vt:lpstr>FPP_AT3_BT</vt:lpstr>
      <vt:lpstr>FPP_AT3_MT</vt:lpstr>
      <vt:lpstr>FPP_BT_BT</vt:lpstr>
      <vt:lpstr>FPP_MT_BT</vt:lpstr>
      <vt:lpstr>FPP_MT_MT</vt:lpstr>
      <vt:lpstr>FS_AT2</vt:lpstr>
      <vt:lpstr>FS_AT3</vt:lpstr>
      <vt:lpstr>FS_BT</vt:lpstr>
      <vt:lpstr>FS_MT</vt:lpstr>
      <vt:lpstr>Inj_AT1</vt:lpstr>
      <vt:lpstr>Inj_AT2</vt:lpstr>
      <vt:lpstr>InjAT3</vt:lpstr>
      <vt:lpstr>InjBT</vt:lpstr>
      <vt:lpstr>InjMT</vt:lpstr>
      <vt:lpstr>IPNT_AT1</vt:lpstr>
      <vt:lpstr>IPNT_AT2</vt:lpstr>
      <vt:lpstr>IPNT_AT3</vt:lpstr>
      <vt:lpstr>IPNT_BT</vt:lpstr>
      <vt:lpstr>IPNT_MT</vt:lpstr>
      <vt:lpstr>K_D3_D</vt:lpstr>
      <vt:lpstr>K_D4_D</vt:lpstr>
      <vt:lpstr>K_D5_D</vt:lpstr>
      <vt:lpstr>kz_B1</vt:lpstr>
      <vt:lpstr>kz_B2</vt:lpstr>
      <vt:lpstr>kz_B3</vt:lpstr>
      <vt:lpstr>L_AT1</vt:lpstr>
      <vt:lpstr>L_AT2</vt:lpstr>
      <vt:lpstr>L_AT3</vt:lpstr>
      <vt:lpstr>L_BT</vt:lpstr>
      <vt:lpstr>L_MT</vt:lpstr>
      <vt:lpstr>LNKTXT_ano</vt:lpstr>
      <vt:lpstr>LNKTXT_contrato</vt:lpstr>
      <vt:lpstr>LNKTXT_datartp</vt:lpstr>
      <vt:lpstr>LNKTXT_nomeD</vt:lpstr>
      <vt:lpstr>LNKTXT_rehanterior</vt:lpstr>
      <vt:lpstr>LNKTXT_SIC</vt:lpstr>
      <vt:lpstr>LNKTXT_siglaD</vt:lpstr>
      <vt:lpstr>NUC_A1</vt:lpstr>
      <vt:lpstr>NUC_A2</vt:lpstr>
      <vt:lpstr>NUC_A3</vt:lpstr>
      <vt:lpstr>NUC_A3a</vt:lpstr>
      <vt:lpstr>NUC_A4</vt:lpstr>
      <vt:lpstr>NUC_AS</vt:lpstr>
      <vt:lpstr>NUC_B1</vt:lpstr>
      <vt:lpstr>NUC_B2</vt:lpstr>
      <vt:lpstr>NUC_B3com</vt:lpstr>
      <vt:lpstr>NUC_B3ind</vt:lpstr>
      <vt:lpstr>NUC_B3sp</vt:lpstr>
      <vt:lpstr>NUC_B4</vt:lpstr>
      <vt:lpstr>PF_AT2_AT2</vt:lpstr>
      <vt:lpstr>PF_AT2_AT3</vt:lpstr>
      <vt:lpstr>PF_AT2_BT</vt:lpstr>
      <vt:lpstr>PF_AT2_MT</vt:lpstr>
      <vt:lpstr>PF_AT3_AT3</vt:lpstr>
      <vt:lpstr>PF_AT3_BT</vt:lpstr>
      <vt:lpstr>PF_AT3_MT</vt:lpstr>
      <vt:lpstr>PF_BT_BT</vt:lpstr>
      <vt:lpstr>PF_MT_BT</vt:lpstr>
      <vt:lpstr>PF_MT_MT</vt:lpstr>
      <vt:lpstr>PMIX_ENERGIA_MWh</vt:lpstr>
      <vt:lpstr>RINTFP_B1</vt:lpstr>
      <vt:lpstr>RINTFP_B2</vt:lpstr>
      <vt:lpstr>RINTFP_B3</vt:lpstr>
      <vt:lpstr>RPFP_B1</vt:lpstr>
      <vt:lpstr>RPFP_B2</vt:lpstr>
      <vt:lpstr>RPFP_B3</vt:lpstr>
      <vt:lpstr>TAB_NT10</vt:lpstr>
      <vt:lpstr>TAB_NT2</vt:lpstr>
      <vt:lpstr>TAB_NT4</vt:lpstr>
      <vt:lpstr>TAB_NT5</vt:lpstr>
      <vt:lpstr>TAB_NT6A</vt:lpstr>
      <vt:lpstr>TAB_NT6B</vt:lpstr>
      <vt:lpstr>TAB_NT7</vt:lpstr>
      <vt:lpstr>TAB_NT8</vt:lpstr>
      <vt:lpstr>TAB_NTsub</vt:lpstr>
      <vt:lpstr>teta_K_BT</vt:lpstr>
      <vt:lpstr>teta_k_MT</vt:lpstr>
      <vt:lpstr>TR_CCD_A2_FP</vt:lpstr>
      <vt:lpstr>TR_CCD_A2_P</vt:lpstr>
      <vt:lpstr>TR_CCD_A3_FP</vt:lpstr>
      <vt:lpstr>TR_CCD_A3_P</vt:lpstr>
      <vt:lpstr>TR_CCD_BT_FP</vt:lpstr>
      <vt:lpstr>TR_CCD_BT_P</vt:lpstr>
      <vt:lpstr>TR_CCD_MT_FP</vt:lpstr>
      <vt:lpstr>TR_CCD_MT_P</vt:lpstr>
      <vt:lpstr>TR_CCT_A2_FP</vt:lpstr>
      <vt:lpstr>TR_CCT_A2_P</vt:lpstr>
      <vt:lpstr>TR_CCT_A3_FP</vt:lpstr>
      <vt:lpstr>TR_CCT_A3_P</vt:lpstr>
      <vt:lpstr>TR_CCT_BT_FP</vt:lpstr>
      <vt:lpstr>TR_CCT_BT_P</vt:lpstr>
      <vt:lpstr>TR_CCT_MT_FP</vt:lpstr>
      <vt:lpstr>TR_CCT_MT_P</vt:lpstr>
      <vt:lpstr>TR_CUSD_A2_FP</vt:lpstr>
      <vt:lpstr>TR_CUSD_A2_P</vt:lpstr>
      <vt:lpstr>TR_CUSD_A3_FP</vt:lpstr>
      <vt:lpstr>TR_CUSD_A3_P</vt:lpstr>
      <vt:lpstr>TR_CUSD_BT_FP</vt:lpstr>
      <vt:lpstr>TR_CUSD_BT_P</vt:lpstr>
      <vt:lpstr>TR_CUSD_MT_FP</vt:lpstr>
      <vt:lpstr>TR_CUSD_MT_P</vt:lpstr>
      <vt:lpstr>TR_FIOA_A2_FP</vt:lpstr>
      <vt:lpstr>TR_FIOA_A2_P</vt:lpstr>
      <vt:lpstr>TR_FIOA_A3_FP</vt:lpstr>
      <vt:lpstr>TR_FIOA_A3_P</vt:lpstr>
      <vt:lpstr>TR_FIOA_BT_FP</vt:lpstr>
      <vt:lpstr>TR_FIOA_BT_MWh</vt:lpstr>
      <vt:lpstr>TR_FIOA_BT_P</vt:lpstr>
      <vt:lpstr>TR_FIOA_MT_FP</vt:lpstr>
      <vt:lpstr>TR_FIOA_MT_P</vt:lpstr>
      <vt:lpstr>TR_FIOB_A2_FP</vt:lpstr>
      <vt:lpstr>TR_FIOB_A2_P</vt:lpstr>
      <vt:lpstr>TR_FIOB_A3_FP</vt:lpstr>
      <vt:lpstr>TR_FIOB_A3_P</vt:lpstr>
      <vt:lpstr>TR_FIOB_AS_FP</vt:lpstr>
      <vt:lpstr>TR_FIOB_AS_P</vt:lpstr>
      <vt:lpstr>TR_FIOB_BT_FP</vt:lpstr>
      <vt:lpstr>TR_FIOB_BT_MWh</vt:lpstr>
      <vt:lpstr>TR_FIOB_BT_P</vt:lpstr>
      <vt:lpstr>TR_FIOB_MT_FP</vt:lpstr>
      <vt:lpstr>TR_FIOB_MT_P</vt:lpstr>
      <vt:lpstr>TR_FR_A2_FP</vt:lpstr>
      <vt:lpstr>TR_FR_A2_P</vt:lpstr>
      <vt:lpstr>TR_FR_A3_FP</vt:lpstr>
      <vt:lpstr>TR_FR_A3_P</vt:lpstr>
      <vt:lpstr>TR_FR_BT_FP</vt:lpstr>
      <vt:lpstr>TR_FR_BT_P</vt:lpstr>
      <vt:lpstr>TR_FR_MT_FP</vt:lpstr>
      <vt:lpstr>TR_FR_MT_P</vt:lpstr>
      <vt:lpstr>TR_RB_A2_FP</vt:lpstr>
      <vt:lpstr>TR_RB_A2_P</vt:lpstr>
      <vt:lpstr>TR_RB_A3_FP</vt:lpstr>
      <vt:lpstr>TR_RB_A3_P</vt:lpstr>
      <vt:lpstr>TR_RB_BT_FP</vt:lpstr>
      <vt:lpstr>TR_RB_BT_P</vt:lpstr>
      <vt:lpstr>TR_RB_MT_FP</vt:lpstr>
      <vt:lpstr>TR_RB_MT_P</vt:lpstr>
      <vt:lpstr>v_G_BT_1</vt:lpstr>
      <vt:lpstr>v_G_BT_2</vt:lpstr>
      <vt:lpstr>v_G_MT</vt:lpstr>
      <vt:lpstr>WACC</vt:lpstr>
    </vt:vector>
  </TitlesOfParts>
  <Manager>rokya@aneel.gov.br</Manager>
  <Company>ANEEL; SGT</Company>
  <LinksUpToDate>false</LinksUpToDate>
  <SharedDoc>false</SharedDoc>
  <HyperlinkBase>Estrutura Tarifária; ET; Tarifa de Referência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TR_v2.7a - construção de Tarifas de Referência</dc:title>
  <dc:subject>Tarifa de Referência; Estrutura Tarifária</dc:subject>
  <dc:creator>ROKYA;brancher@aneel.gov.br;lcandido@aneel.gov.br</dc:creator>
  <cp:keywords>TR_v2.7a - construção de Tarifas de Referência</cp:keywords>
  <dc:description>05.04.18 - v2.7a - Aba TR - controle C1; ajuste POSTOS TARIFA BRANCA; CCD- QRR; remuneração CCD</dc:description>
  <cp:lastModifiedBy>Administrador</cp:lastModifiedBy>
  <dcterms:created xsi:type="dcterms:W3CDTF">2015-04-22T17:58:51Z</dcterms:created>
  <dcterms:modified xsi:type="dcterms:W3CDTF">2022-07-19T18:52:38Z</dcterms:modified>
  <cp:category>Tarifa de Referência;Revisão Tarifária;Distribuidora</cp:category>
  <cp:contentStatus>v2.7a - 05.04.18</cp:contentStatus>
</cp:coreProperties>
</file>